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592" windowHeight="8928" activeTab="0"/>
  </bookViews>
  <sheets>
    <sheet name="Anexo1_Invitación3-2024" sheetId="1" r:id="rId1"/>
  </sheets>
  <definedNames/>
  <calcPr fullCalcOnLoad="1"/>
</workbook>
</file>

<file path=xl/sharedStrings.xml><?xml version="1.0" encoding="utf-8"?>
<sst xmlns="http://schemas.openxmlformats.org/spreadsheetml/2006/main" count="399" uniqueCount="258">
  <si>
    <t>CANTIDAD</t>
  </si>
  <si>
    <t>PRELIMINARES</t>
  </si>
  <si>
    <t>M2</t>
  </si>
  <si>
    <t>UN</t>
  </si>
  <si>
    <t>VALOR CAPITULO 1</t>
  </si>
  <si>
    <t>TOTAL CAPITULO 5</t>
  </si>
  <si>
    <t>TOTAL CAPITULO 4</t>
  </si>
  <si>
    <t>TOTAL CAPITULO 6</t>
  </si>
  <si>
    <t>TOTAL CAPITULO 7</t>
  </si>
  <si>
    <t>TOTAL CAPITULO 8</t>
  </si>
  <si>
    <t>TOTAL CAPITULO 10</t>
  </si>
  <si>
    <t>TOTAL CAPITULO 11</t>
  </si>
  <si>
    <t>TOTAL CAPITULO 12</t>
  </si>
  <si>
    <t>M3</t>
  </si>
  <si>
    <t>Rellenos en recebo compactado</t>
  </si>
  <si>
    <t>VARIOS</t>
  </si>
  <si>
    <t>INSTALACIONES HIDRAULICAS Y SANITARIAS</t>
  </si>
  <si>
    <t>ML</t>
  </si>
  <si>
    <t xml:space="preserve">Cerramiento en fibra </t>
  </si>
  <si>
    <t>TON</t>
  </si>
  <si>
    <t>Movimiento de escombros a sitio de cargue</t>
  </si>
  <si>
    <t>Descargue materiales</t>
  </si>
  <si>
    <t>Jornal</t>
  </si>
  <si>
    <t>Relleno de excavación tubería desagüe</t>
  </si>
  <si>
    <t>1.1</t>
  </si>
  <si>
    <t>1.2</t>
  </si>
  <si>
    <t>1.3</t>
  </si>
  <si>
    <t>1.4</t>
  </si>
  <si>
    <t>1.5</t>
  </si>
  <si>
    <t>UNID</t>
  </si>
  <si>
    <t>1.6</t>
  </si>
  <si>
    <t>1.7</t>
  </si>
  <si>
    <t>1.8</t>
  </si>
  <si>
    <t>1.9</t>
  </si>
  <si>
    <t>1.10</t>
  </si>
  <si>
    <t>1.11</t>
  </si>
  <si>
    <t>1.12</t>
  </si>
  <si>
    <t>1.13</t>
  </si>
  <si>
    <t>Jornales por administración (Aseo provisional y otros)</t>
  </si>
  <si>
    <t>1.15</t>
  </si>
  <si>
    <t>1.16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</si>
  <si>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</si>
  <si>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</si>
  <si>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</si>
  <si>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</si>
  <si>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</si>
  <si>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</si>
  <si>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</si>
  <si>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</si>
  <si>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</si>
  <si>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</si>
  <si>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</si>
  <si>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</si>
  <si>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</si>
  <si>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</si>
  <si>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</si>
  <si>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</si>
  <si>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</si>
  <si>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</si>
  <si>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</si>
  <si>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</si>
  <si>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</si>
  <si>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</si>
  <si>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</si>
  <si>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</si>
  <si>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</si>
  <si>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</si>
  <si>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</si>
  <si>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ITEM</t>
  </si>
  <si>
    <t>DESCRIPCION ACTIVIDAD</t>
  </si>
  <si>
    <t>PRESUPUESTO MANO DE OBRA</t>
  </si>
  <si>
    <t>VR.UN.M.OB.</t>
  </si>
  <si>
    <t>VR.TOTAL.M.OB.</t>
  </si>
  <si>
    <t>5.9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</si>
  <si>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</si>
  <si>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</si>
  <si>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</si>
  <si>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</si>
  <si>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</si>
  <si>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</si>
  <si>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</si>
  <si>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</si>
  <si>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</si>
  <si>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6.1</t>
  </si>
  <si>
    <t>6.2</t>
  </si>
  <si>
    <t>6.3</t>
  </si>
  <si>
    <t>6.9</t>
  </si>
  <si>
    <t>6.10</t>
  </si>
  <si>
    <t>7.1</t>
  </si>
  <si>
    <t>7.2</t>
  </si>
  <si>
    <t>7.3</t>
  </si>
  <si>
    <t>ELABORÓ: ARQ. GABRIEL MENDEZ G.</t>
  </si>
  <si>
    <t>7.12</t>
  </si>
  <si>
    <t>8.1</t>
  </si>
  <si>
    <t>11.2</t>
  </si>
  <si>
    <t>11.3</t>
  </si>
  <si>
    <t>8.2</t>
  </si>
  <si>
    <t>8.3</t>
  </si>
  <si>
    <t>11.1</t>
  </si>
  <si>
    <t>11.4</t>
  </si>
  <si>
    <t>11.5</t>
  </si>
  <si>
    <t>DESAGUES E INSTALACIONES SUBTERRÁNEAS</t>
  </si>
  <si>
    <t>Salidas Hidraulicas de 1/2"</t>
  </si>
  <si>
    <t>8.10</t>
  </si>
  <si>
    <t>Aseo final de obra</t>
  </si>
  <si>
    <t>Sálidas sanitarias de 4" en terreno</t>
  </si>
  <si>
    <t>Sálidas sanitarias de 2" y 3" en terreno</t>
  </si>
  <si>
    <t>Accesorios pvc sanitarios</t>
  </si>
  <si>
    <t>Registros de 1/2" (Incluye taparegistro)</t>
  </si>
  <si>
    <t>Demolición de pavimento en concreto exist. (Para zonas verdes)</t>
  </si>
  <si>
    <t>BAÑOS AMPLI. Demolición de muros exist.</t>
  </si>
  <si>
    <t>BAÑOS AMPLI. Desmonte de ventanas aluminio exist.</t>
  </si>
  <si>
    <t>VALOR CAPITULO  2</t>
  </si>
  <si>
    <t>Excavación manual en terreno compactado Cajas Inspección</t>
  </si>
  <si>
    <t>Excavación manual con rotura de contrapiso desagües AN+ALL</t>
  </si>
  <si>
    <t>Excavación manual en terreno compactado red desagüe AN+ALL</t>
  </si>
  <si>
    <t>Demolición de placa contrapiso exist. (Para zonas verdes)</t>
  </si>
  <si>
    <t>Trampas de grasas</t>
  </si>
  <si>
    <t>Red tubería de desagüe  AN+ALL de 3"</t>
  </si>
  <si>
    <t>Red tubería de desagüe AN+ ALL de 4"</t>
  </si>
  <si>
    <t>Red tubería de desagüe AN+ ALL de 6"</t>
  </si>
  <si>
    <t>Excava.Lineal con rotura pavime.ccto.exist. tuberias desague</t>
  </si>
  <si>
    <t>TOTAL CAPITULO 3</t>
  </si>
  <si>
    <t>Nivelación y rellenos en recebo área parque infantil</t>
  </si>
  <si>
    <t>PISOS TERRAZAS (BASES Y ACABADOS)</t>
  </si>
  <si>
    <t>Red de Suministro de 1" (Incluye regata+ resane)</t>
  </si>
  <si>
    <t>Red de Suministro de 1/2"  (Incluye regata+ resane)</t>
  </si>
  <si>
    <t>Muros en bloque H5</t>
  </si>
  <si>
    <t>Excava.con rotura pavime.ccto.exist. C.Inspe._o_Trampa.grasa</t>
  </si>
  <si>
    <t>Recuadros  mamposteria .15x.10  en ventanas</t>
  </si>
  <si>
    <t>5.10</t>
  </si>
  <si>
    <t>5.11</t>
  </si>
  <si>
    <t>5.12</t>
  </si>
  <si>
    <t>5.13</t>
  </si>
  <si>
    <t>5.15</t>
  </si>
  <si>
    <t>Lineales de pañete liso muros  (Incluye filos+dilataciones)</t>
  </si>
  <si>
    <t>Pañete muros fachada con dilataciones (Inclu.filos+dilataci.)</t>
  </si>
  <si>
    <t>Piso cerámico antideslizante (Incl. Alistado)</t>
  </si>
  <si>
    <t>Guardaescoba cerámico interior</t>
  </si>
  <si>
    <t>Guardaescoba gres exterior</t>
  </si>
  <si>
    <t>5.20</t>
  </si>
  <si>
    <t>Grada en gravilla lavada</t>
  </si>
  <si>
    <t>5.21</t>
  </si>
  <si>
    <t>5.22</t>
  </si>
  <si>
    <t>5.23</t>
  </si>
  <si>
    <t>5.24</t>
  </si>
  <si>
    <t>5.25</t>
  </si>
  <si>
    <t>5.26</t>
  </si>
  <si>
    <t>Viga de cimentación ccto.  .30x.30 (Incluye refuerzos)</t>
  </si>
  <si>
    <t>Graniplas sobre muros de fachada</t>
  </si>
  <si>
    <t>6.11</t>
  </si>
  <si>
    <t>6.12</t>
  </si>
  <si>
    <t>6.13</t>
  </si>
  <si>
    <t>6.15</t>
  </si>
  <si>
    <t>6.20</t>
  </si>
  <si>
    <t>6.21</t>
  </si>
  <si>
    <t>6.22</t>
  </si>
  <si>
    <t>6.23</t>
  </si>
  <si>
    <t>Excava.Manu.Viga.Cimenta. Con rotura Placa contrapiso exist.</t>
  </si>
  <si>
    <t>6.24</t>
  </si>
  <si>
    <t>6.25</t>
  </si>
  <si>
    <t>Solado en concreto pobre vigas de cimentación</t>
  </si>
  <si>
    <t>6.26</t>
  </si>
  <si>
    <t>Columnetas confinamiento en ccto. .12x.20 (Inclu.refuerzos)</t>
  </si>
  <si>
    <t>Viga de amarre ccto. .12x.30 (Inclu.refuerzos)</t>
  </si>
  <si>
    <t>Viga cinta ccto. .12x.12  (Inclu.refuerzos)</t>
  </si>
  <si>
    <t>Lineales de bloque H5</t>
  </si>
  <si>
    <t>Placa maciza en concreto Esp. .12 (Inclu.refuerzos+impermeab.)</t>
  </si>
  <si>
    <t>Lineales de pañete liso muros interior</t>
  </si>
  <si>
    <t>Pañete liso  interior (Incluye filos+dilataciones)</t>
  </si>
  <si>
    <t>Lineales de pañete fachada con dilataciones</t>
  </si>
  <si>
    <t>Puerta acceso a baños Lami.CR.Cal.18 (Incl.pintulux)</t>
  </si>
  <si>
    <t xml:space="preserve"> Enchape cerámico baños Altura 2.00Mts</t>
  </si>
  <si>
    <t xml:space="preserve">AMPLIACIÓN+ADECUACIÓN BATERÍA DE BAÑOS 1  ÁREA: 9.61M2  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</si>
  <si>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</si>
  <si>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</si>
  <si>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</si>
  <si>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</si>
  <si>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</si>
  <si>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</si>
  <si>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</si>
  <si>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</si>
  <si>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</si>
  <si>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</si>
  <si>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</si>
  <si>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</si>
  <si>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10.15</t>
  </si>
  <si>
    <t>10.16</t>
  </si>
  <si>
    <t>10.18</t>
  </si>
  <si>
    <t>10.19</t>
  </si>
  <si>
    <t>10.20</t>
  </si>
  <si>
    <t>10.22</t>
  </si>
  <si>
    <t>Red tubería de desagüe  AN+ALL de 2"</t>
  </si>
  <si>
    <t>Conexión de Red ALL a Caja de .Inspe. exist.</t>
  </si>
  <si>
    <t>Reconstru.c/piso 3 mangos (Incl.rece.compa.+malla electro.)</t>
  </si>
  <si>
    <t>Placa contrapiso espesor .08 nivela.pavi.(Inclu.malla electro.)</t>
  </si>
  <si>
    <t>Piso ccto esp. .06+cefefas adoquin-o-simi.Terraza Cubier.Modu.</t>
  </si>
  <si>
    <t xml:space="preserve">Pisos exteriores aislamiento y andenes en ccto.Espe..08 con cenefa enn adoquin-o-similar(Inclu.descapote, retiro sobrantes a sitio cargue, base recebo compactado y malla electrosoldada) </t>
  </si>
  <si>
    <t xml:space="preserve">Pisos triturado suelto con cenefas confina. adoquin-o-similar                                                          (Incl.descapo.+reti.sobra.siti.cargue+base recebo compa..15) </t>
  </si>
  <si>
    <t>Registros de 1" (Incluye taparegistro)</t>
  </si>
  <si>
    <t>Cajas inspección .81x.81 a 1.00 a 1.00 (Inclu.tapa marco meta)</t>
  </si>
  <si>
    <t>Cajas inspección  1.01x1.01a1.20x1.20 (Inclu.tapa marco meta)</t>
  </si>
  <si>
    <t>Glob</t>
  </si>
  <si>
    <t>Replanteo de (4) Módulos Comerciales</t>
  </si>
  <si>
    <t>Replanteo parcial de Pergolas (Terraza cubierta)</t>
  </si>
  <si>
    <t>Replanteo Local 5 (Antiguo cuarto basuras)</t>
  </si>
  <si>
    <t>Global</t>
  </si>
  <si>
    <t>Demolición parcial sardinel ccto. Existente</t>
  </si>
  <si>
    <t>Demoli.piso tablón+gravi.exist.Plazo.Pablo Rodri. (Inclu.alistado)</t>
  </si>
  <si>
    <t>Resanes piso tablón+gravilla existe.(Inclu.cenefa unión pisos)</t>
  </si>
  <si>
    <t xml:space="preserve">Global </t>
  </si>
  <si>
    <t>11.6</t>
  </si>
  <si>
    <t>11.7</t>
  </si>
  <si>
    <t>11.8</t>
  </si>
  <si>
    <t>11.9</t>
  </si>
  <si>
    <t>Solado en concreto pobre zapatas</t>
  </si>
  <si>
    <t>(1) MÓDULO TIPO 1 ÁREA: 13.41M2  (EXTERIOR)</t>
  </si>
  <si>
    <t>Zapatas en concreto .60x.60+Pedestal .25x.25 (Incluye refuerzos)</t>
  </si>
  <si>
    <t>(3) MÓDULOS TIPO 2 ÁREA: 14.70M2  (EXTERNOS)</t>
  </si>
  <si>
    <t xml:space="preserve">TERRAZAS CUBIERTAS CON PERGOLA: ZONA (4) MÓDULOS EXTERNOS 168.61M2  </t>
  </si>
  <si>
    <t>10.14</t>
  </si>
  <si>
    <t>Excavación manual para zapatas</t>
  </si>
  <si>
    <t>Solado en concreto pobre zapatas+vigas de cimentación</t>
  </si>
  <si>
    <t>Columnas en ccto. .30x.30 (Inclu.refuerzos)</t>
  </si>
  <si>
    <t>Pañete liso muros interior (Incluye malla+filos+dilataciones)</t>
  </si>
  <si>
    <t>Pañete muros fachada con dilataciones (Inclu. malla+filos+dilataci.)</t>
  </si>
  <si>
    <t>Pañete liso muros interior (Incluye  malla+filos+dilataciones)</t>
  </si>
  <si>
    <t>PORTICO DE ACCESO</t>
  </si>
  <si>
    <t>12.14</t>
  </si>
  <si>
    <t>12.15</t>
  </si>
  <si>
    <t>Viga en ccto. .30x.35 (Incluye refuerzos)</t>
  </si>
  <si>
    <t>Cieloraso PVC o similar inte.módu.(Inclu. Estructu.+mediacañas)</t>
  </si>
  <si>
    <t>Cieloraso PVC o similar inte.módu.(Inclu.estructu.+mediacañas)</t>
  </si>
  <si>
    <t>Excava.Manu.Zapata. con rotura pavime.o.contrapiso exist.</t>
  </si>
  <si>
    <t>10.24</t>
  </si>
  <si>
    <t>PROYECTO: 1° ETAPA  PLAZOLETA GASTRONÓMICA "JESÚS MARÍA GARCÍA"</t>
  </si>
  <si>
    <t xml:space="preserve">Replanteo Pergolas Terraza Cubierta Local 06 (Coci.abierta exist) </t>
  </si>
  <si>
    <t>Demoli.jardineras exist.mangos (Inclu.alfa.+retiro tierra siti.cargue)</t>
  </si>
  <si>
    <t>Muros en bloque H4 (Inclu.aislamiento icopor contra PTE10x100)</t>
  </si>
  <si>
    <t>Base pegacor+Vinilo Tp1 3manos interior (Inclu.filos+dilata.)</t>
  </si>
  <si>
    <t>Estuco+Vinilo Tp1 3manos interior (Inclu.filos+dilata.)</t>
  </si>
  <si>
    <t>CENTRO DE EVENTOS CCSOT</t>
  </si>
  <si>
    <t>VALOR TOTAL MANO DE OBRA</t>
  </si>
  <si>
    <t>Campamento de obra 24M2 teja de zinc con estructura en madera</t>
  </si>
  <si>
    <t xml:space="preserve">OBSERVACIONES </t>
  </si>
  <si>
    <t>El Contratista debe incluir:</t>
  </si>
  <si>
    <t>HERRAMIENTA DE MANO</t>
  </si>
  <si>
    <t>PULIDORAS</t>
  </si>
  <si>
    <t>TALADROS</t>
  </si>
  <si>
    <t xml:space="preserve">PROTECCIÓN TRABAJADORES </t>
  </si>
  <si>
    <t>(Botas, guantes, casco, gafas, tapaoidos, careta y delantal para soldar)</t>
  </si>
  <si>
    <t>(Palustres, macetas, niveles, cimbras, cizallas, martillos, carretillas, escuadras, boquilleras, etc)</t>
  </si>
  <si>
    <t>ESPINAL, FEBRERO DE 2024</t>
  </si>
  <si>
    <t>10.13</t>
  </si>
  <si>
    <t>10.21</t>
  </si>
  <si>
    <t xml:space="preserve">TERRAZAS CUBIE.CON PERGOLA: ZONA LOCAL 6 (COC.ABIE.EXIST.) ÁREA: 45.22M2  </t>
  </si>
  <si>
    <t xml:space="preserve">PRESUPUESTO DE MANO DE OBRA </t>
  </si>
  <si>
    <t>1° CONTRATO CONSTRUCCIÓN Y REMODELACIÓN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</si>
</sst>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[$$-80A]#,##0_);\([$$-80A]#,##0\)"/>
    <numFmt numFmtId="187" formatCode="&quot;$&quot;\ #,##0"/>
    <numFmt numFmtId="188" formatCode="_([$$-240A]\ * #,##0_);_([$$-240A]\ * \(#,##0\);_([$$-240A]\ * &quot;-&quot;??_);_(@_)"/>
    <numFmt numFmtId="189" formatCode="0.0"/>
    <numFmt numFmtId="190" formatCode="_(* #,##0_);_(* \(#,##0\);_(* &quot;-&quot;??_);_(@_)"/>
    <numFmt numFmtId="191" formatCode="_(&quot;$&quot;* #,##0_);_(&quot;$&quot;* \(#,##0\);_(&quot;$&quot;* &quot;-&quot;??_);_(@_)"/>
    <numFmt numFmtId="192" formatCode="_(&quot;$&quot;* #,##0.00_);_(&quot;$&quot;* \(#,##0.00\);_(&quot;$&quot;* &quot;-&quot;??_);_(@_)"/>
    <numFmt numFmtId="193" formatCode="0.0%"/>
    <numFmt numFmtId="194" formatCode="_([$$-240A]\ * #,##0.00_);_([$$-240A]\ * \(#,##0.00\);_([$$-240A]\ * &quot;-&quot;??_);_(@_)"/>
    <numFmt numFmtId="195" formatCode="_([$$-240A]\ * #,##0.0_);_([$$-240A]\ * \(#,##0.0\);_([$$-240A]\ * &quot;-&quot;??_);_(@_)"/>
    <numFmt numFmtId="196" formatCode="_(&quot;$&quot;* #,##0_);_(&quot;$&quot;* \(#,##0\);_(&quot;$&quot;* &quot;-&quot;_);_(@_)"/>
    <numFmt numFmtId="197" formatCode="_(* #,##0.0_);_(* \(#,##0.0\);_(* &quot;-&quot;??_);_(@_)"/>
    <numFmt numFmtId="198" formatCode="_-* #,##0.00\ [$€]_-;\-* #,##0.00\ [$€]_-;_-* &quot;-&quot;??\ [$€]_-;_-@_-"/>
    <numFmt numFmtId="199" formatCode="_(&quot;$&quot;\ * #,##0_);_(&quot;$&quot;\ * \(#,##0\);_(&quot;$&quot;\ * &quot;-&quot;??_);_(@_)"/>
    <numFmt numFmtId="200" formatCode="_(&quot;₡&quot;* #,##0.000_);_(&quot;₡&quot;* \(#,##0.000\);_(&quot;₡&quot;* &quot;-&quot;??_);_(@_)"/>
    <numFmt numFmtId="201" formatCode="_(&quot;₡&quot;* #,##0.0000_);_(&quot;₡&quot;* \(#,##0.0000\);_(&quot;₡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_-* #,##0\ _C_$_-;\-* #,##0\ _C_$_-;_-* &quot;-&quot;??\ _C_$_-;_-@_-"/>
    <numFmt numFmtId="208" formatCode="_-[$$-240A]\ * #,##0.00_-;\-[$$-240A]\ * #,##0.00_-;_-[$$-240A]\ * &quot;-&quot;??_-;_-@_-"/>
    <numFmt numFmtId="209" formatCode="_-[$$-240A]\ * #,##0.0_-;\-[$$-240A]\ * #,##0.0_-;_-[$$-240A]\ * &quot;-&quot;??_-;_-@_-"/>
    <numFmt numFmtId="210" formatCode="_-[$$-240A]\ * #,##0_-;\-[$$-240A]\ * #,##0_-;_-[$$-240A]\ * &quot;-&quot;??_-;_-@_-"/>
    <numFmt numFmtId="211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Tahoma"/>
      <family val="2"/>
    </font>
    <font>
      <b/>
      <sz val="7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theme="1"/>
      <name val="Tahoma"/>
      <family val="2"/>
    </font>
    <font>
      <b/>
      <sz val="7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51" applyNumberFormat="1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176" fontId="24" fillId="0" borderId="10" xfId="56" applyNumberFormat="1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right"/>
    </xf>
    <xf numFmtId="186" fontId="26" fillId="0" borderId="10" xfId="0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2" fontId="27" fillId="0" borderId="10" xfId="0" applyNumberFormat="1" applyFont="1" applyFill="1" applyBorder="1" applyAlignment="1">
      <alignment vertical="center"/>
    </xf>
    <xf numFmtId="186" fontId="26" fillId="0" borderId="11" xfId="0" applyNumberFormat="1" applyFont="1" applyFill="1" applyBorder="1" applyAlignment="1">
      <alignment horizontal="left" vertical="center"/>
    </xf>
    <xf numFmtId="186" fontId="26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88" fontId="26" fillId="24" borderId="10" xfId="55" applyNumberFormat="1" applyFont="1" applyFill="1" applyBorder="1" applyAlignment="1">
      <alignment vertical="center"/>
    </xf>
    <xf numFmtId="49" fontId="3" fillId="24" borderId="12" xfId="0" applyNumberFormat="1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49" fontId="3" fillId="24" borderId="14" xfId="0" applyNumberFormat="1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49" fontId="3" fillId="24" borderId="15" xfId="0" applyNumberFormat="1" applyFont="1" applyFill="1" applyBorder="1" applyAlignment="1">
      <alignment vertical="center"/>
    </xf>
    <xf numFmtId="0" fontId="6" fillId="24" borderId="16" xfId="0" applyFont="1" applyFill="1" applyBorder="1" applyAlignment="1">
      <alignment vertical="center"/>
    </xf>
    <xf numFmtId="2" fontId="6" fillId="24" borderId="16" xfId="0" applyNumberFormat="1" applyFont="1" applyFill="1" applyBorder="1" applyAlignment="1">
      <alignment vertical="center"/>
    </xf>
    <xf numFmtId="188" fontId="1" fillId="24" borderId="10" xfId="0" applyNumberFormat="1" applyFont="1" applyFill="1" applyBorder="1" applyAlignment="1">
      <alignment vertical="center"/>
    </xf>
    <xf numFmtId="2" fontId="6" fillId="24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" fontId="6" fillId="24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left" vertical="center"/>
    </xf>
    <xf numFmtId="2" fontId="0" fillId="0" borderId="10" xfId="51" applyNumberFormat="1" applyFont="1" applyFill="1" applyBorder="1" applyAlignment="1">
      <alignment vertical="center"/>
    </xf>
    <xf numFmtId="188" fontId="0" fillId="0" borderId="10" xfId="55" applyNumberFormat="1" applyFont="1" applyFill="1" applyBorder="1" applyAlignment="1">
      <alignment vertical="center"/>
    </xf>
    <xf numFmtId="189" fontId="24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1" fillId="25" borderId="10" xfId="0" applyFont="1" applyFill="1" applyBorder="1" applyAlignment="1">
      <alignment horizontal="centerContinuous" vertical="center"/>
    </xf>
    <xf numFmtId="2" fontId="1" fillId="25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84" fontId="25" fillId="0" borderId="10" xfId="56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 wrapText="1"/>
    </xf>
    <xf numFmtId="176" fontId="35" fillId="0" borderId="10" xfId="56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186" fontId="26" fillId="0" borderId="10" xfId="0" applyNumberFormat="1" applyFont="1" applyBorder="1" applyAlignment="1">
      <alignment horizontal="left" vertical="center"/>
    </xf>
    <xf numFmtId="0" fontId="24" fillId="26" borderId="10" xfId="0" applyFont="1" applyFill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/>
    </xf>
    <xf numFmtId="0" fontId="24" fillId="0" borderId="10" xfId="0" applyFont="1" applyFill="1" applyBorder="1" applyAlignment="1">
      <alignment horizontal="right" vertical="center"/>
    </xf>
    <xf numFmtId="0" fontId="1" fillId="25" borderId="0" xfId="0" applyFont="1" applyFill="1" applyBorder="1" applyAlignment="1">
      <alignment horizontal="centerContinuous" vertical="center"/>
    </xf>
    <xf numFmtId="2" fontId="1" fillId="25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" fillId="25" borderId="17" xfId="0" applyFont="1" applyFill="1" applyBorder="1" applyAlignment="1">
      <alignment horizontal="centerContinuous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25" borderId="11" xfId="0" applyFont="1" applyFill="1" applyBorder="1" applyAlignment="1">
      <alignment vertical="center" wrapText="1"/>
    </xf>
    <xf numFmtId="49" fontId="1" fillId="24" borderId="16" xfId="0" applyNumberFormat="1" applyFont="1" applyFill="1" applyBorder="1" applyAlignment="1">
      <alignment vertical="center"/>
    </xf>
    <xf numFmtId="176" fontId="35" fillId="0" borderId="10" xfId="59" applyNumberFormat="1" applyFont="1" applyFill="1" applyBorder="1" applyAlignment="1">
      <alignment vertical="center"/>
    </xf>
    <xf numFmtId="176" fontId="24" fillId="0" borderId="10" xfId="59" applyNumberFormat="1" applyFont="1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0" fontId="6" fillId="24" borderId="21" xfId="0" applyFont="1" applyFill="1" applyBorder="1" applyAlignment="1">
      <alignment vertical="center"/>
    </xf>
    <xf numFmtId="0" fontId="6" fillId="24" borderId="22" xfId="0" applyFont="1" applyFill="1" applyBorder="1" applyAlignment="1">
      <alignment vertical="center"/>
    </xf>
    <xf numFmtId="184" fontId="25" fillId="0" borderId="10" xfId="56" applyFont="1" applyBorder="1" applyAlignment="1">
      <alignment horizontal="center" vertical="center"/>
    </xf>
    <xf numFmtId="184" fontId="25" fillId="0" borderId="10" xfId="56" applyFont="1" applyBorder="1" applyAlignment="1">
      <alignment horizontal="center"/>
    </xf>
    <xf numFmtId="171" fontId="25" fillId="0" borderId="10" xfId="51" applyFont="1" applyBorder="1" applyAlignment="1">
      <alignment horizontal="center" vertical="center"/>
    </xf>
    <xf numFmtId="186" fontId="5" fillId="24" borderId="10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[0] 2" xfId="57"/>
    <cellStyle name="Moneda [0] 3" xfId="58"/>
    <cellStyle name="Moneda [0] 4" xfId="59"/>
    <cellStyle name="Moneda 10" xfId="60"/>
    <cellStyle name="Moneda 11" xfId="61"/>
    <cellStyle name="Moneda 2" xfId="62"/>
    <cellStyle name="Moneda 2 2" xfId="63"/>
    <cellStyle name="Moneda 2 3" xfId="64"/>
    <cellStyle name="Moneda 3" xfId="65"/>
    <cellStyle name="Moneda 4" xfId="66"/>
    <cellStyle name="Moneda 5" xfId="67"/>
    <cellStyle name="Moneda 6" xfId="68"/>
    <cellStyle name="Moneda 7" xfId="69"/>
    <cellStyle name="Moneda 8" xfId="70"/>
    <cellStyle name="Moneda 9" xfId="71"/>
    <cellStyle name="Neutral" xfId="72"/>
    <cellStyle name="Normal 2" xfId="73"/>
    <cellStyle name="Normal 2 2" xfId="74"/>
    <cellStyle name="Normal 3" xfId="75"/>
    <cellStyle name="Normal 4" xfId="76"/>
    <cellStyle name="Notas" xfId="77"/>
    <cellStyle name="Notas 2" xfId="78"/>
    <cellStyle name="Percent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">
      <selection activeCell="J112" sqref="J112"/>
    </sheetView>
  </sheetViews>
  <sheetFormatPr defaultColWidth="11.421875" defaultRowHeight="12.75"/>
  <cols>
    <col min="1" max="1" width="3.57421875" style="25" customWidth="1"/>
    <col min="2" max="2" width="50.28125" style="25" customWidth="1"/>
    <col min="3" max="3" width="4.00390625" style="25" customWidth="1"/>
    <col min="4" max="4" width="6.8515625" style="25" customWidth="1"/>
    <col min="5" max="5" width="9.7109375" style="25" customWidth="1"/>
    <col min="6" max="6" width="13.7109375" style="25" customWidth="1"/>
    <col min="7" max="16384" width="11.421875" style="25" customWidth="1"/>
  </cols>
  <sheetData>
    <row r="1" spans="1:7" ht="14.25" customHeight="1">
      <c r="A1" s="16" t="s">
        <v>256</v>
      </c>
      <c r="B1" s="17"/>
      <c r="C1" s="17"/>
      <c r="D1" s="24"/>
      <c r="E1" s="17"/>
      <c r="F1" s="69"/>
      <c r="G1" s="47"/>
    </row>
    <row r="2" spans="1:7" ht="14.25" customHeight="1">
      <c r="A2" s="18" t="s">
        <v>235</v>
      </c>
      <c r="B2" s="19"/>
      <c r="C2" s="19"/>
      <c r="D2" s="26"/>
      <c r="E2" s="19"/>
      <c r="F2" s="70"/>
      <c r="G2" s="47"/>
    </row>
    <row r="3" spans="1:7" ht="14.25" customHeight="1">
      <c r="A3" s="18" t="s">
        <v>257</v>
      </c>
      <c r="B3" s="19"/>
      <c r="C3" s="19"/>
      <c r="D3" s="26"/>
      <c r="E3" s="19"/>
      <c r="F3" s="70"/>
      <c r="G3" s="47"/>
    </row>
    <row r="4" spans="1:7" ht="14.25" customHeight="1">
      <c r="A4" s="18" t="s">
        <v>241</v>
      </c>
      <c r="B4" s="19"/>
      <c r="C4" s="19"/>
      <c r="D4" s="26"/>
      <c r="E4" s="19"/>
      <c r="F4" s="70"/>
      <c r="G4" s="47"/>
    </row>
    <row r="5" spans="1:7" ht="14.25" customHeight="1">
      <c r="A5" s="20" t="s">
        <v>91</v>
      </c>
      <c r="B5" s="21"/>
      <c r="C5" s="66" t="s">
        <v>252</v>
      </c>
      <c r="D5" s="22"/>
      <c r="E5" s="66"/>
      <c r="F5" s="71"/>
      <c r="G5" s="47"/>
    </row>
    <row r="6" spans="1:6" ht="3" customHeight="1">
      <c r="A6" s="65"/>
      <c r="B6" s="65"/>
      <c r="C6" s="65"/>
      <c r="D6" s="65"/>
      <c r="E6" s="65"/>
      <c r="F6" s="65"/>
    </row>
    <row r="7" spans="1:6" ht="9.75" customHeight="1">
      <c r="A7" s="72" t="s">
        <v>68</v>
      </c>
      <c r="B7" s="72" t="s">
        <v>69</v>
      </c>
      <c r="C7" s="73" t="s">
        <v>29</v>
      </c>
      <c r="D7" s="73" t="s">
        <v>0</v>
      </c>
      <c r="E7" s="74" t="s">
        <v>70</v>
      </c>
      <c r="F7" s="74"/>
    </row>
    <row r="8" spans="1:6" ht="9.75" customHeight="1">
      <c r="A8" s="72"/>
      <c r="B8" s="72"/>
      <c r="C8" s="73"/>
      <c r="D8" s="73"/>
      <c r="E8" s="43" t="s">
        <v>71</v>
      </c>
      <c r="F8" s="43" t="s">
        <v>72</v>
      </c>
    </row>
    <row r="9" spans="1:6" ht="3" customHeight="1">
      <c r="A9" s="45"/>
      <c r="B9" s="45"/>
      <c r="C9" s="45"/>
      <c r="D9" s="45"/>
      <c r="E9" s="45"/>
      <c r="F9" s="45"/>
    </row>
    <row r="10" spans="1:6" ht="12" customHeight="1">
      <c r="A10" s="10">
        <v>1</v>
      </c>
      <c r="B10" s="13" t="s">
        <v>1</v>
      </c>
      <c r="C10" s="28"/>
      <c r="D10" s="29"/>
      <c r="E10" s="27"/>
      <c r="F10" s="27"/>
    </row>
    <row r="11" spans="1:6" ht="12" customHeight="1">
      <c r="A11" s="9" t="s">
        <v>24</v>
      </c>
      <c r="B11" s="3" t="s">
        <v>203</v>
      </c>
      <c r="C11" s="4" t="s">
        <v>2</v>
      </c>
      <c r="D11" s="6">
        <f>(13.12*1+14.7*3)*1.05</f>
        <v>60.080999999999996</v>
      </c>
      <c r="E11" s="46">
        <v>0</v>
      </c>
      <c r="F11" s="5">
        <f aca="true" t="shared" si="0" ref="F11:F24">+D11*E11</f>
        <v>0</v>
      </c>
    </row>
    <row r="12" spans="1:6" ht="10.5" customHeight="1">
      <c r="A12" s="9" t="s">
        <v>25</v>
      </c>
      <c r="B12" s="3" t="s">
        <v>205</v>
      </c>
      <c r="C12" s="4" t="s">
        <v>2</v>
      </c>
      <c r="D12" s="6">
        <f>26.9</f>
        <v>26.9</v>
      </c>
      <c r="E12" s="46">
        <v>0</v>
      </c>
      <c r="F12" s="5">
        <f t="shared" si="0"/>
        <v>0</v>
      </c>
    </row>
    <row r="13" spans="1:6" ht="12" customHeight="1">
      <c r="A13" s="9" t="s">
        <v>26</v>
      </c>
      <c r="B13" s="3" t="s">
        <v>204</v>
      </c>
      <c r="C13" s="4" t="s">
        <v>2</v>
      </c>
      <c r="D13" s="6">
        <f>230.39*1.1-D11</f>
        <v>193.348</v>
      </c>
      <c r="E13" s="46">
        <v>0</v>
      </c>
      <c r="F13" s="5">
        <f t="shared" si="0"/>
        <v>0</v>
      </c>
    </row>
    <row r="14" spans="1:6" ht="12" customHeight="1">
      <c r="A14" s="9" t="s">
        <v>27</v>
      </c>
      <c r="B14" s="3" t="s">
        <v>236</v>
      </c>
      <c r="C14" s="4" t="s">
        <v>2</v>
      </c>
      <c r="D14" s="6">
        <f>45.22*1.05</f>
        <v>47.481</v>
      </c>
      <c r="E14" s="46">
        <v>0</v>
      </c>
      <c r="F14" s="5">
        <f t="shared" si="0"/>
        <v>0</v>
      </c>
    </row>
    <row r="15" spans="1:6" ht="12" customHeight="1">
      <c r="A15" s="9" t="s">
        <v>28</v>
      </c>
      <c r="B15" s="3" t="s">
        <v>208</v>
      </c>
      <c r="C15" s="4" t="s">
        <v>2</v>
      </c>
      <c r="D15" s="6">
        <f>399.95*1.025</f>
        <v>409.94874999999996</v>
      </c>
      <c r="E15" s="46">
        <v>0</v>
      </c>
      <c r="F15" s="5">
        <f t="shared" si="0"/>
        <v>0</v>
      </c>
    </row>
    <row r="16" spans="1:6" ht="12" customHeight="1">
      <c r="A16" s="9" t="s">
        <v>30</v>
      </c>
      <c r="B16" s="3" t="s">
        <v>207</v>
      </c>
      <c r="C16" s="4" t="s">
        <v>17</v>
      </c>
      <c r="D16" s="6">
        <f>+(65.94+57.81)*1.05</f>
        <v>129.9375</v>
      </c>
      <c r="E16" s="46">
        <v>0</v>
      </c>
      <c r="F16" s="5">
        <f t="shared" si="0"/>
        <v>0</v>
      </c>
    </row>
    <row r="17" spans="1:6" ht="12" customHeight="1">
      <c r="A17" s="9" t="s">
        <v>31</v>
      </c>
      <c r="B17" s="3" t="s">
        <v>237</v>
      </c>
      <c r="C17" s="4" t="s">
        <v>17</v>
      </c>
      <c r="D17" s="6">
        <f>+(11.44*3+13.71)*1.05</f>
        <v>50.4315</v>
      </c>
      <c r="E17" s="46">
        <v>0</v>
      </c>
      <c r="F17" s="5">
        <f t="shared" si="0"/>
        <v>0</v>
      </c>
    </row>
    <row r="18" spans="1:6" ht="12" customHeight="1">
      <c r="A18" s="9" t="s">
        <v>32</v>
      </c>
      <c r="B18" s="3" t="s">
        <v>109</v>
      </c>
      <c r="C18" s="4" t="s">
        <v>2</v>
      </c>
      <c r="D18" s="6">
        <f>(11.92+11.36+0.5*2+11*0.8)*1.05</f>
        <v>34.734</v>
      </c>
      <c r="E18" s="46">
        <v>0</v>
      </c>
      <c r="F18" s="5">
        <f t="shared" si="0"/>
        <v>0</v>
      </c>
    </row>
    <row r="19" spans="1:6" ht="12" customHeight="1">
      <c r="A19" s="9" t="s">
        <v>33</v>
      </c>
      <c r="B19" s="3" t="s">
        <v>116</v>
      </c>
      <c r="C19" s="4" t="s">
        <v>2</v>
      </c>
      <c r="D19" s="6">
        <f>(4.71+16.08*2+14.86)*1.05</f>
        <v>54.3165</v>
      </c>
      <c r="E19" s="46">
        <v>0</v>
      </c>
      <c r="F19" s="5">
        <f t="shared" si="0"/>
        <v>0</v>
      </c>
    </row>
    <row r="20" spans="1:6" ht="12" customHeight="1">
      <c r="A20" s="9" t="s">
        <v>34</v>
      </c>
      <c r="B20" s="3" t="s">
        <v>18</v>
      </c>
      <c r="C20" s="4" t="s">
        <v>17</v>
      </c>
      <c r="D20" s="6">
        <f>49.26*1.1</f>
        <v>54.186</v>
      </c>
      <c r="E20" s="46">
        <v>0</v>
      </c>
      <c r="F20" s="5">
        <f t="shared" si="0"/>
        <v>0</v>
      </c>
    </row>
    <row r="21" spans="1:6" ht="12" customHeight="1">
      <c r="A21" s="9" t="s">
        <v>35</v>
      </c>
      <c r="B21" s="3" t="s">
        <v>21</v>
      </c>
      <c r="C21" s="4" t="s">
        <v>19</v>
      </c>
      <c r="D21" s="6">
        <v>60</v>
      </c>
      <c r="E21" s="46">
        <v>0</v>
      </c>
      <c r="F21" s="5">
        <f t="shared" si="0"/>
        <v>0</v>
      </c>
    </row>
    <row r="22" spans="1:6" ht="12" customHeight="1">
      <c r="A22" s="9" t="s">
        <v>36</v>
      </c>
      <c r="B22" s="3" t="s">
        <v>20</v>
      </c>
      <c r="C22" s="4" t="s">
        <v>13</v>
      </c>
      <c r="D22" s="6">
        <v>140</v>
      </c>
      <c r="E22" s="46">
        <v>0</v>
      </c>
      <c r="F22" s="5">
        <f t="shared" si="0"/>
        <v>0</v>
      </c>
    </row>
    <row r="23" spans="1:6" ht="12" customHeight="1">
      <c r="A23" s="9" t="s">
        <v>37</v>
      </c>
      <c r="B23" s="3" t="s">
        <v>38</v>
      </c>
      <c r="C23" s="4" t="s">
        <v>22</v>
      </c>
      <c r="D23" s="6">
        <v>40</v>
      </c>
      <c r="E23" s="46">
        <v>0</v>
      </c>
      <c r="F23" s="5">
        <f t="shared" si="0"/>
        <v>0</v>
      </c>
    </row>
    <row r="24" spans="1:6" ht="12" customHeight="1">
      <c r="A24" s="9" t="s">
        <v>39</v>
      </c>
      <c r="B24" s="3" t="s">
        <v>243</v>
      </c>
      <c r="C24" s="4" t="s">
        <v>206</v>
      </c>
      <c r="D24" s="6">
        <v>1</v>
      </c>
      <c r="E24" s="46">
        <v>0</v>
      </c>
      <c r="F24" s="5">
        <f t="shared" si="0"/>
        <v>0</v>
      </c>
    </row>
    <row r="25" spans="1:6" ht="12" customHeight="1" hidden="1">
      <c r="A25" s="9" t="s">
        <v>40</v>
      </c>
      <c r="B25" s="27"/>
      <c r="C25" s="27"/>
      <c r="D25" s="27"/>
      <c r="E25" s="27"/>
      <c r="F25" s="27"/>
    </row>
    <row r="26" spans="1:6" ht="12" customHeight="1">
      <c r="A26" s="10">
        <v>1</v>
      </c>
      <c r="B26" s="13" t="s">
        <v>4</v>
      </c>
      <c r="C26" s="30"/>
      <c r="D26" s="31"/>
      <c r="E26" s="27"/>
      <c r="F26" s="15">
        <f>SUM(F11:F25)</f>
        <v>0</v>
      </c>
    </row>
    <row r="27" spans="1:6" ht="3" customHeight="1">
      <c r="A27" s="39"/>
      <c r="B27" s="39"/>
      <c r="C27" s="39"/>
      <c r="D27" s="40"/>
      <c r="E27" s="41"/>
      <c r="F27" s="41"/>
    </row>
    <row r="28" spans="1:6" s="48" customFormat="1" ht="12" customHeight="1">
      <c r="A28" s="10">
        <v>2</v>
      </c>
      <c r="B28" s="13" t="s">
        <v>101</v>
      </c>
      <c r="C28" s="1"/>
      <c r="D28" s="2"/>
      <c r="E28" s="27"/>
      <c r="F28" s="27"/>
    </row>
    <row r="29" spans="1:6" s="48" customFormat="1" ht="12" customHeight="1">
      <c r="A29" s="9" t="s">
        <v>41</v>
      </c>
      <c r="B29" s="42" t="s">
        <v>128</v>
      </c>
      <c r="C29" s="4" t="s">
        <v>13</v>
      </c>
      <c r="D29" s="6">
        <f>+(1*1*1*6)</f>
        <v>6</v>
      </c>
      <c r="E29" s="46">
        <v>0</v>
      </c>
      <c r="F29" s="5">
        <f aca="true" t="shared" si="1" ref="F29:F36">+D29*E29</f>
        <v>0</v>
      </c>
    </row>
    <row r="30" spans="1:6" s="48" customFormat="1" ht="12" customHeight="1">
      <c r="A30" s="9" t="s">
        <v>42</v>
      </c>
      <c r="B30" s="42" t="s">
        <v>121</v>
      </c>
      <c r="C30" s="4" t="s">
        <v>17</v>
      </c>
      <c r="D30" s="6">
        <f>+(32+8+7+8+8+6+6)</f>
        <v>75</v>
      </c>
      <c r="E30" s="46">
        <v>0</v>
      </c>
      <c r="F30" s="5">
        <f t="shared" si="1"/>
        <v>0</v>
      </c>
    </row>
    <row r="31" spans="1:6" s="48" customFormat="1" ht="12" customHeight="1">
      <c r="A31" s="9" t="s">
        <v>43</v>
      </c>
      <c r="B31" s="3" t="s">
        <v>114</v>
      </c>
      <c r="C31" s="4" t="s">
        <v>17</v>
      </c>
      <c r="D31" s="6">
        <f>+(14+15.5+2.5*2+6)+(8.5+2+10)</f>
        <v>61</v>
      </c>
      <c r="E31" s="46">
        <v>0</v>
      </c>
      <c r="F31" s="5">
        <f t="shared" si="1"/>
        <v>0</v>
      </c>
    </row>
    <row r="32" spans="1:6" s="48" customFormat="1" ht="12" customHeight="1">
      <c r="A32" s="9" t="s">
        <v>44</v>
      </c>
      <c r="B32" s="3" t="s">
        <v>113</v>
      </c>
      <c r="C32" s="4" t="s">
        <v>13</v>
      </c>
      <c r="D32" s="6">
        <f>1.5*1.5*2+1*1*1</f>
        <v>5.5</v>
      </c>
      <c r="E32" s="46">
        <v>0</v>
      </c>
      <c r="F32" s="5">
        <f t="shared" si="1"/>
        <v>0</v>
      </c>
    </row>
    <row r="33" spans="1:6" s="48" customFormat="1" ht="12" customHeight="1">
      <c r="A33" s="9" t="s">
        <v>45</v>
      </c>
      <c r="B33" s="3" t="s">
        <v>115</v>
      </c>
      <c r="C33" s="4" t="s">
        <v>17</v>
      </c>
      <c r="D33" s="6">
        <v>39.5</v>
      </c>
      <c r="E33" s="46">
        <v>0</v>
      </c>
      <c r="F33" s="5">
        <f t="shared" si="1"/>
        <v>0</v>
      </c>
    </row>
    <row r="34" spans="1:6" s="48" customFormat="1" ht="12" customHeight="1">
      <c r="A34" s="9" t="s">
        <v>46</v>
      </c>
      <c r="B34" s="3" t="s">
        <v>200</v>
      </c>
      <c r="C34" s="4" t="s">
        <v>3</v>
      </c>
      <c r="D34" s="6">
        <f>3+3</f>
        <v>6</v>
      </c>
      <c r="E34" s="46">
        <v>0</v>
      </c>
      <c r="F34" s="5">
        <f t="shared" si="1"/>
        <v>0</v>
      </c>
    </row>
    <row r="35" spans="1:6" s="48" customFormat="1" ht="12" customHeight="1">
      <c r="A35" s="9" t="s">
        <v>47</v>
      </c>
      <c r="B35" s="3" t="s">
        <v>201</v>
      </c>
      <c r="C35" s="4" t="s">
        <v>3</v>
      </c>
      <c r="D35" s="6">
        <v>2</v>
      </c>
      <c r="E35" s="46">
        <v>0</v>
      </c>
      <c r="F35" s="5">
        <f t="shared" si="1"/>
        <v>0</v>
      </c>
    </row>
    <row r="36" spans="1:6" s="48" customFormat="1" ht="12" customHeight="1">
      <c r="A36" s="9" t="s">
        <v>48</v>
      </c>
      <c r="B36" s="3" t="s">
        <v>117</v>
      </c>
      <c r="C36" s="4" t="s">
        <v>3</v>
      </c>
      <c r="D36" s="6">
        <v>4</v>
      </c>
      <c r="E36" s="46">
        <v>0</v>
      </c>
      <c r="F36" s="5">
        <f t="shared" si="1"/>
        <v>0</v>
      </c>
    </row>
    <row r="37" spans="1:6" s="48" customFormat="1" ht="12" customHeight="1">
      <c r="A37" s="9" t="s">
        <v>49</v>
      </c>
      <c r="B37" s="3" t="s">
        <v>193</v>
      </c>
      <c r="C37" s="4" t="s">
        <v>3</v>
      </c>
      <c r="D37" s="6">
        <v>2</v>
      </c>
      <c r="E37" s="46">
        <v>0</v>
      </c>
      <c r="F37" s="5">
        <f>+D37*E37</f>
        <v>0</v>
      </c>
    </row>
    <row r="38" spans="1:6" s="48" customFormat="1" ht="12" customHeight="1">
      <c r="A38" s="9" t="s">
        <v>50</v>
      </c>
      <c r="B38" s="3" t="s">
        <v>192</v>
      </c>
      <c r="C38" s="4" t="s">
        <v>17</v>
      </c>
      <c r="D38" s="6">
        <f>+((8+10+8.5+6+8+5.5+8+10+11+5)+(6+5))*0.6</f>
        <v>54.6</v>
      </c>
      <c r="E38" s="46">
        <v>0</v>
      </c>
      <c r="F38" s="5">
        <f aca="true" t="shared" si="2" ref="F38:F45">+D38*E38</f>
        <v>0</v>
      </c>
    </row>
    <row r="39" spans="1:6" s="48" customFormat="1" ht="12" customHeight="1">
      <c r="A39" s="9" t="s">
        <v>51</v>
      </c>
      <c r="B39" s="3" t="s">
        <v>118</v>
      </c>
      <c r="C39" s="4" t="s">
        <v>17</v>
      </c>
      <c r="D39" s="6">
        <f>+(18+20+5)*0.6</f>
        <v>25.8</v>
      </c>
      <c r="E39" s="46">
        <v>0</v>
      </c>
      <c r="F39" s="5">
        <f t="shared" si="2"/>
        <v>0</v>
      </c>
    </row>
    <row r="40" spans="1:6" s="48" customFormat="1" ht="12" customHeight="1">
      <c r="A40" s="9" t="s">
        <v>52</v>
      </c>
      <c r="B40" s="3" t="s">
        <v>119</v>
      </c>
      <c r="C40" s="4" t="s">
        <v>17</v>
      </c>
      <c r="D40" s="6">
        <f>+(5+5+4+3*2)*1.1</f>
        <v>22</v>
      </c>
      <c r="E40" s="46">
        <v>0</v>
      </c>
      <c r="F40" s="5">
        <f t="shared" si="2"/>
        <v>0</v>
      </c>
    </row>
    <row r="41" spans="1:6" s="48" customFormat="1" ht="12" customHeight="1">
      <c r="A41" s="9" t="s">
        <v>53</v>
      </c>
      <c r="B41" s="3" t="s">
        <v>120</v>
      </c>
      <c r="C41" s="4" t="s">
        <v>17</v>
      </c>
      <c r="D41" s="6">
        <f>+(9+7)*1.1</f>
        <v>17.6</v>
      </c>
      <c r="E41" s="46">
        <v>0</v>
      </c>
      <c r="F41" s="5">
        <f t="shared" si="2"/>
        <v>0</v>
      </c>
    </row>
    <row r="42" spans="1:6" s="48" customFormat="1" ht="12" customHeight="1">
      <c r="A42" s="9" t="s">
        <v>54</v>
      </c>
      <c r="B42" s="3" t="s">
        <v>23</v>
      </c>
      <c r="C42" s="4" t="s">
        <v>17</v>
      </c>
      <c r="D42" s="6">
        <f>+(D38+D39+D40+D41)*0.8</f>
        <v>96</v>
      </c>
      <c r="E42" s="46">
        <v>0</v>
      </c>
      <c r="F42" s="5">
        <f t="shared" si="2"/>
        <v>0</v>
      </c>
    </row>
    <row r="43" spans="1:6" s="48" customFormat="1" ht="12" customHeight="1">
      <c r="A43" s="9" t="s">
        <v>55</v>
      </c>
      <c r="B43" s="3" t="s">
        <v>106</v>
      </c>
      <c r="C43" s="4" t="s">
        <v>29</v>
      </c>
      <c r="D43" s="6">
        <f>32*0.6</f>
        <v>19.2</v>
      </c>
      <c r="E43" s="46">
        <v>0</v>
      </c>
      <c r="F43" s="5">
        <f t="shared" si="2"/>
        <v>0</v>
      </c>
    </row>
    <row r="44" spans="1:6" s="48" customFormat="1" ht="12" customHeight="1">
      <c r="A44" s="9" t="s">
        <v>56</v>
      </c>
      <c r="B44" s="3" t="s">
        <v>105</v>
      </c>
      <c r="C44" s="4" t="s">
        <v>29</v>
      </c>
      <c r="D44" s="6">
        <v>2</v>
      </c>
      <c r="E44" s="46">
        <v>0</v>
      </c>
      <c r="F44" s="5">
        <f t="shared" si="2"/>
        <v>0</v>
      </c>
    </row>
    <row r="45" spans="1:6" s="48" customFormat="1" ht="12" customHeight="1">
      <c r="A45" s="9" t="s">
        <v>57</v>
      </c>
      <c r="B45" s="3" t="s">
        <v>107</v>
      </c>
      <c r="C45" s="4" t="s">
        <v>29</v>
      </c>
      <c r="D45" s="6">
        <f>+((D43+D44)*1.5)*0.50299</f>
        <v>15.995082</v>
      </c>
      <c r="E45" s="46">
        <v>0</v>
      </c>
      <c r="F45" s="5">
        <f t="shared" si="2"/>
        <v>0</v>
      </c>
    </row>
    <row r="46" s="48" customFormat="1" ht="12" customHeight="1" hidden="1">
      <c r="A46" s="9" t="s">
        <v>58</v>
      </c>
    </row>
    <row r="47" spans="1:6" s="48" customFormat="1" ht="11.25" customHeight="1">
      <c r="A47" s="10">
        <v>2</v>
      </c>
      <c r="B47" s="13" t="s">
        <v>112</v>
      </c>
      <c r="C47" s="30"/>
      <c r="D47" s="31"/>
      <c r="E47" s="27"/>
      <c r="F47" s="15">
        <f>SUM(F29:F46)</f>
        <v>0</v>
      </c>
    </row>
    <row r="48" spans="1:6" s="48" customFormat="1" ht="3" customHeight="1">
      <c r="A48" s="45"/>
      <c r="B48" s="45"/>
      <c r="C48" s="45"/>
      <c r="D48" s="45"/>
      <c r="E48" s="45"/>
      <c r="F48" s="45"/>
    </row>
    <row r="49" spans="1:6" s="48" customFormat="1" ht="10.5" customHeight="1">
      <c r="A49" s="10">
        <v>3</v>
      </c>
      <c r="B49" s="13" t="s">
        <v>124</v>
      </c>
      <c r="C49" s="1"/>
      <c r="D49" s="32"/>
      <c r="E49" s="27"/>
      <c r="F49" s="27"/>
    </row>
    <row r="50" spans="1:6" s="48" customFormat="1" ht="10.5" customHeight="1">
      <c r="A50" s="9" t="s">
        <v>59</v>
      </c>
      <c r="B50" s="3" t="s">
        <v>14</v>
      </c>
      <c r="C50" s="4" t="s">
        <v>13</v>
      </c>
      <c r="D50" s="6">
        <f>(334.85-11.4-94.6)*0.07</f>
        <v>16.019500000000004</v>
      </c>
      <c r="E50" s="46">
        <v>0</v>
      </c>
      <c r="F50" s="5">
        <f aca="true" t="shared" si="3" ref="F50:F57">+D50*E50</f>
        <v>0</v>
      </c>
    </row>
    <row r="51" spans="1:6" s="48" customFormat="1" ht="10.5" customHeight="1">
      <c r="A51" s="9" t="s">
        <v>60</v>
      </c>
      <c r="B51" s="3" t="s">
        <v>123</v>
      </c>
      <c r="C51" s="4" t="s">
        <v>13</v>
      </c>
      <c r="D51" s="6">
        <f>154.85*0.1</f>
        <v>15.485</v>
      </c>
      <c r="E51" s="46">
        <v>0</v>
      </c>
      <c r="F51" s="5">
        <f t="shared" si="3"/>
        <v>0</v>
      </c>
    </row>
    <row r="52" spans="1:6" s="48" customFormat="1" ht="10.5" customHeight="1">
      <c r="A52" s="9" t="s">
        <v>61</v>
      </c>
      <c r="B52" s="3" t="s">
        <v>194</v>
      </c>
      <c r="C52" s="4" t="s">
        <v>2</v>
      </c>
      <c r="D52" s="6">
        <f>8.2*3</f>
        <v>24.599999999999998</v>
      </c>
      <c r="E52" s="46">
        <v>0</v>
      </c>
      <c r="F52" s="5">
        <f t="shared" si="3"/>
        <v>0</v>
      </c>
    </row>
    <row r="53" spans="1:6" s="48" customFormat="1" ht="10.5" customHeight="1">
      <c r="A53" s="9" t="s">
        <v>62</v>
      </c>
      <c r="B53" s="3" t="s">
        <v>195</v>
      </c>
      <c r="C53" s="4" t="s">
        <v>2</v>
      </c>
      <c r="D53" s="6">
        <f>(420.94-(176.94+11.39+4.9*2+4.95*2))</f>
        <v>212.91</v>
      </c>
      <c r="E53" s="46">
        <v>0</v>
      </c>
      <c r="F53" s="5">
        <f t="shared" si="3"/>
        <v>0</v>
      </c>
    </row>
    <row r="54" spans="1:6" s="48" customFormat="1" ht="10.5" customHeight="1">
      <c r="A54" s="9" t="s">
        <v>63</v>
      </c>
      <c r="B54" s="3" t="s">
        <v>196</v>
      </c>
      <c r="C54" s="4" t="s">
        <v>2</v>
      </c>
      <c r="D54" s="6">
        <f>+(446.76-16.1*3-1.5*4)*1.1</f>
        <v>431.706</v>
      </c>
      <c r="E54" s="46">
        <v>0</v>
      </c>
      <c r="F54" s="5">
        <f t="shared" si="3"/>
        <v>0</v>
      </c>
    </row>
    <row r="55" spans="1:6" s="48" customFormat="1" ht="10.5" customHeight="1">
      <c r="A55" s="9" t="s">
        <v>64</v>
      </c>
      <c r="B55" s="42" t="s">
        <v>209</v>
      </c>
      <c r="C55" s="4" t="s">
        <v>210</v>
      </c>
      <c r="D55" s="6">
        <v>1</v>
      </c>
      <c r="E55" s="46">
        <v>0</v>
      </c>
      <c r="F55" s="5">
        <f t="shared" si="3"/>
        <v>0</v>
      </c>
    </row>
    <row r="56" spans="1:6" s="48" customFormat="1" ht="31.5" customHeight="1">
      <c r="A56" s="9" t="s">
        <v>65</v>
      </c>
      <c r="B56" s="42" t="s">
        <v>197</v>
      </c>
      <c r="C56" s="4" t="s">
        <v>2</v>
      </c>
      <c r="D56" s="6">
        <f>129.38*1.1</f>
        <v>142.318</v>
      </c>
      <c r="E56" s="46">
        <v>0</v>
      </c>
      <c r="F56" s="5">
        <f t="shared" si="3"/>
        <v>0</v>
      </c>
    </row>
    <row r="57" spans="1:6" s="48" customFormat="1" ht="24" customHeight="1">
      <c r="A57" s="9" t="s">
        <v>66</v>
      </c>
      <c r="B57" s="49" t="s">
        <v>198</v>
      </c>
      <c r="C57" s="4" t="s">
        <v>2</v>
      </c>
      <c r="D57" s="6">
        <f>+(12.1+12.07+12+12.07+16.07*3)*1.15</f>
        <v>110.91749999999999</v>
      </c>
      <c r="E57" s="46">
        <v>0</v>
      </c>
      <c r="F57" s="5">
        <f t="shared" si="3"/>
        <v>0</v>
      </c>
    </row>
    <row r="58" spans="1:6" s="48" customFormat="1" ht="6.75" customHeight="1" hidden="1">
      <c r="A58" s="9" t="s">
        <v>67</v>
      </c>
      <c r="B58" s="42"/>
      <c r="C58" s="50"/>
      <c r="D58" s="50"/>
      <c r="E58" s="50"/>
      <c r="F58" s="50"/>
    </row>
    <row r="59" spans="1:6" s="48" customFormat="1" ht="10.5" customHeight="1">
      <c r="A59" s="10">
        <v>3</v>
      </c>
      <c r="B59" s="13" t="s">
        <v>122</v>
      </c>
      <c r="C59" s="1"/>
      <c r="D59" s="6"/>
      <c r="E59" s="33"/>
      <c r="F59" s="15">
        <f>SUM(F50:F58)</f>
        <v>0</v>
      </c>
    </row>
    <row r="60" spans="1:6" s="48" customFormat="1" ht="3" customHeight="1">
      <c r="A60" s="39"/>
      <c r="B60" s="39"/>
      <c r="C60" s="39"/>
      <c r="D60" s="40"/>
      <c r="E60" s="41"/>
      <c r="F60" s="41"/>
    </row>
    <row r="61" spans="1:6" ht="12" customHeight="1">
      <c r="A61" s="10">
        <v>4</v>
      </c>
      <c r="B61" s="13" t="s">
        <v>16</v>
      </c>
      <c r="C61" s="1"/>
      <c r="D61" s="6"/>
      <c r="E61" s="33"/>
      <c r="F61" s="33"/>
    </row>
    <row r="62" spans="1:6" ht="12" customHeight="1">
      <c r="A62" s="9" t="s">
        <v>74</v>
      </c>
      <c r="B62" s="42" t="s">
        <v>125</v>
      </c>
      <c r="C62" s="4" t="s">
        <v>17</v>
      </c>
      <c r="D62" s="6">
        <f>+(26+35)*1.1</f>
        <v>67.10000000000001</v>
      </c>
      <c r="E62" s="46">
        <v>0</v>
      </c>
      <c r="F62" s="5">
        <f>+D62*E62</f>
        <v>0</v>
      </c>
    </row>
    <row r="63" spans="1:6" ht="12" customHeight="1">
      <c r="A63" s="9" t="s">
        <v>75</v>
      </c>
      <c r="B63" s="42" t="s">
        <v>126</v>
      </c>
      <c r="C63" s="4" t="s">
        <v>17</v>
      </c>
      <c r="D63" s="6">
        <f>+(15*4+17)*1.2</f>
        <v>92.39999999999999</v>
      </c>
      <c r="E63" s="46">
        <v>0</v>
      </c>
      <c r="F63" s="5">
        <f>+D63*E63</f>
        <v>0</v>
      </c>
    </row>
    <row r="64" spans="1:6" ht="12" customHeight="1">
      <c r="A64" s="9" t="s">
        <v>76</v>
      </c>
      <c r="B64" s="3" t="s">
        <v>102</v>
      </c>
      <c r="C64" s="4" t="s">
        <v>3</v>
      </c>
      <c r="D64" s="6">
        <f>24-8</f>
        <v>16</v>
      </c>
      <c r="E64" s="46">
        <v>0</v>
      </c>
      <c r="F64" s="5">
        <f>+D64*E64</f>
        <v>0</v>
      </c>
    </row>
    <row r="65" spans="1:6" ht="12" customHeight="1">
      <c r="A65" s="9" t="s">
        <v>77</v>
      </c>
      <c r="B65" s="3" t="s">
        <v>108</v>
      </c>
      <c r="C65" s="4" t="s">
        <v>3</v>
      </c>
      <c r="D65" s="6">
        <f>11-5</f>
        <v>6</v>
      </c>
      <c r="E65" s="46">
        <v>0</v>
      </c>
      <c r="F65" s="5">
        <f>+D65*E65</f>
        <v>0</v>
      </c>
    </row>
    <row r="66" spans="1:6" ht="12" customHeight="1">
      <c r="A66" s="9" t="s">
        <v>78</v>
      </c>
      <c r="B66" s="3" t="s">
        <v>199</v>
      </c>
      <c r="C66" s="4" t="s">
        <v>3</v>
      </c>
      <c r="D66" s="6">
        <v>4</v>
      </c>
      <c r="E66" s="46">
        <v>0</v>
      </c>
      <c r="F66" s="5">
        <f>+D66*E66</f>
        <v>0</v>
      </c>
    </row>
    <row r="67" spans="1:6" ht="12" customHeight="1" hidden="1">
      <c r="A67" s="9" t="s">
        <v>79</v>
      </c>
      <c r="B67" s="3"/>
      <c r="C67" s="4"/>
      <c r="D67" s="6"/>
      <c r="E67" s="5"/>
      <c r="F67" s="5"/>
    </row>
    <row r="68" spans="1:6" ht="17.25" customHeight="1">
      <c r="A68" s="10">
        <v>4</v>
      </c>
      <c r="B68" s="12" t="s">
        <v>6</v>
      </c>
      <c r="C68" s="44"/>
      <c r="D68" s="6"/>
      <c r="E68" s="33"/>
      <c r="F68" s="15">
        <f>SUM(F62:F67)</f>
        <v>0</v>
      </c>
    </row>
    <row r="69" spans="1:6" ht="3" customHeight="1">
      <c r="A69" s="39"/>
      <c r="B69" s="39"/>
      <c r="C69" s="39"/>
      <c r="D69" s="40"/>
      <c r="E69" s="41"/>
      <c r="F69" s="41"/>
    </row>
    <row r="70" spans="1:6" ht="9.75" customHeight="1">
      <c r="A70" s="72" t="s">
        <v>68</v>
      </c>
      <c r="B70" s="72" t="s">
        <v>69</v>
      </c>
      <c r="C70" s="73" t="s">
        <v>29</v>
      </c>
      <c r="D70" s="73" t="s">
        <v>0</v>
      </c>
      <c r="E70" s="74" t="s">
        <v>70</v>
      </c>
      <c r="F70" s="74"/>
    </row>
    <row r="71" spans="1:6" ht="9.75" customHeight="1">
      <c r="A71" s="72"/>
      <c r="B71" s="72"/>
      <c r="C71" s="73"/>
      <c r="D71" s="73"/>
      <c r="E71" s="43" t="s">
        <v>71</v>
      </c>
      <c r="F71" s="43" t="s">
        <v>72</v>
      </c>
    </row>
    <row r="72" spans="1:6" ht="3" customHeight="1">
      <c r="A72" s="39"/>
      <c r="B72" s="61"/>
      <c r="C72" s="58"/>
      <c r="D72" s="59"/>
      <c r="E72" s="60"/>
      <c r="F72" s="60"/>
    </row>
    <row r="73" spans="1:6" ht="12" customHeight="1">
      <c r="A73" s="10">
        <v>5</v>
      </c>
      <c r="B73" s="51" t="s">
        <v>216</v>
      </c>
      <c r="C73" s="62"/>
      <c r="D73" s="62"/>
      <c r="E73" s="62"/>
      <c r="F73" s="63"/>
    </row>
    <row r="74" spans="1:6" ht="12" customHeight="1">
      <c r="A74" s="57" t="s">
        <v>80</v>
      </c>
      <c r="B74" s="3" t="s">
        <v>233</v>
      </c>
      <c r="C74" s="4" t="s">
        <v>3</v>
      </c>
      <c r="D74" s="6">
        <v>4</v>
      </c>
      <c r="E74" s="46">
        <v>0</v>
      </c>
      <c r="F74" s="5">
        <f aca="true" t="shared" si="4" ref="F74:F88">+D74*E74</f>
        <v>0</v>
      </c>
    </row>
    <row r="75" spans="1:6" ht="12" customHeight="1">
      <c r="A75" s="57" t="s">
        <v>81</v>
      </c>
      <c r="B75" s="3" t="s">
        <v>215</v>
      </c>
      <c r="C75" s="4" t="s">
        <v>2</v>
      </c>
      <c r="D75" s="6">
        <f>+(0.6*0.6*1.05)*4*1.05</f>
        <v>1.5876000000000001</v>
      </c>
      <c r="E75" s="46">
        <v>0</v>
      </c>
      <c r="F75" s="5">
        <f t="shared" si="4"/>
        <v>0</v>
      </c>
    </row>
    <row r="76" spans="1:6" ht="12" customHeight="1">
      <c r="A76" s="57" t="s">
        <v>82</v>
      </c>
      <c r="B76" s="3" t="s">
        <v>217</v>
      </c>
      <c r="C76" s="4" t="s">
        <v>3</v>
      </c>
      <c r="D76" s="6">
        <v>4</v>
      </c>
      <c r="E76" s="46">
        <v>0</v>
      </c>
      <c r="F76" s="5">
        <f t="shared" si="4"/>
        <v>0</v>
      </c>
    </row>
    <row r="77" spans="1:6" ht="12" customHeight="1">
      <c r="A77" s="57" t="s">
        <v>73</v>
      </c>
      <c r="B77" s="3" t="s">
        <v>238</v>
      </c>
      <c r="C77" s="4" t="s">
        <v>2</v>
      </c>
      <c r="D77" s="6">
        <f>+(10.5*3*1.05)*1</f>
        <v>33.075</v>
      </c>
      <c r="E77" s="46">
        <v>0</v>
      </c>
      <c r="F77" s="5">
        <f t="shared" si="4"/>
        <v>0</v>
      </c>
    </row>
    <row r="78" spans="1:6" ht="12" customHeight="1">
      <c r="A78" s="57" t="s">
        <v>130</v>
      </c>
      <c r="B78" s="3" t="s">
        <v>129</v>
      </c>
      <c r="C78" s="4" t="s">
        <v>17</v>
      </c>
      <c r="D78" s="6">
        <f>+(6.6*2*1.05)*1</f>
        <v>13.86</v>
      </c>
      <c r="E78" s="46">
        <v>0</v>
      </c>
      <c r="F78" s="5">
        <f t="shared" si="4"/>
        <v>0</v>
      </c>
    </row>
    <row r="79" spans="1:6" ht="12" customHeight="1">
      <c r="A79" s="57" t="s">
        <v>131</v>
      </c>
      <c r="B79" s="3" t="s">
        <v>224</v>
      </c>
      <c r="C79" s="4" t="s">
        <v>2</v>
      </c>
      <c r="D79" s="6">
        <f>+(10.5*3*1.05)*1</f>
        <v>33.075</v>
      </c>
      <c r="E79" s="46">
        <v>0</v>
      </c>
      <c r="F79" s="5">
        <f t="shared" si="4"/>
        <v>0</v>
      </c>
    </row>
    <row r="80" spans="1:6" ht="12" customHeight="1">
      <c r="A80" s="57" t="s">
        <v>132</v>
      </c>
      <c r="B80" s="3" t="s">
        <v>135</v>
      </c>
      <c r="C80" s="4" t="s">
        <v>17</v>
      </c>
      <c r="D80" s="6">
        <f>+((6.6*3+3*2+10.5)*1.05)*1</f>
        <v>38.115</v>
      </c>
      <c r="E80" s="46">
        <v>0</v>
      </c>
      <c r="F80" s="5">
        <f t="shared" si="4"/>
        <v>0</v>
      </c>
    </row>
    <row r="81" spans="1:6" ht="12" customHeight="1">
      <c r="A81" s="57" t="s">
        <v>133</v>
      </c>
      <c r="B81" s="3" t="s">
        <v>225</v>
      </c>
      <c r="C81" s="4" t="s">
        <v>2</v>
      </c>
      <c r="D81" s="6">
        <f>+(10.5*3*1.05)*1</f>
        <v>33.075</v>
      </c>
      <c r="E81" s="46">
        <v>0</v>
      </c>
      <c r="F81" s="5">
        <f t="shared" si="4"/>
        <v>0</v>
      </c>
    </row>
    <row r="82" spans="1:6" ht="12" customHeight="1">
      <c r="A82" s="57" t="s">
        <v>134</v>
      </c>
      <c r="B82" s="42" t="s">
        <v>231</v>
      </c>
      <c r="C82" s="4" t="s">
        <v>2</v>
      </c>
      <c r="D82" s="6">
        <f>4.3*3.05*1</f>
        <v>13.114999999999998</v>
      </c>
      <c r="E82" s="46">
        <v>0</v>
      </c>
      <c r="F82" s="5">
        <f t="shared" si="4"/>
        <v>0</v>
      </c>
    </row>
    <row r="83" spans="1:6" ht="12" customHeight="1">
      <c r="A83" s="57" t="s">
        <v>140</v>
      </c>
      <c r="B83" s="3" t="s">
        <v>137</v>
      </c>
      <c r="C83" s="4" t="s">
        <v>2</v>
      </c>
      <c r="D83" s="6">
        <f>13.41*1.05</f>
        <v>14.0805</v>
      </c>
      <c r="E83" s="46">
        <v>0</v>
      </c>
      <c r="F83" s="5">
        <f t="shared" si="4"/>
        <v>0</v>
      </c>
    </row>
    <row r="84" spans="1:6" ht="12" customHeight="1">
      <c r="A84" s="57" t="s">
        <v>142</v>
      </c>
      <c r="B84" s="3" t="s">
        <v>138</v>
      </c>
      <c r="C84" s="4" t="s">
        <v>17</v>
      </c>
      <c r="D84" s="6">
        <f>10.5*1.05*1</f>
        <v>11.025</v>
      </c>
      <c r="E84" s="46">
        <v>0</v>
      </c>
      <c r="F84" s="5">
        <f t="shared" si="4"/>
        <v>0</v>
      </c>
    </row>
    <row r="85" spans="1:6" ht="12" customHeight="1">
      <c r="A85" s="57" t="s">
        <v>143</v>
      </c>
      <c r="B85" s="3" t="s">
        <v>139</v>
      </c>
      <c r="C85" s="4" t="s">
        <v>17</v>
      </c>
      <c r="D85" s="6">
        <f>14.86*1</f>
        <v>14.86</v>
      </c>
      <c r="E85" s="46">
        <v>0</v>
      </c>
      <c r="F85" s="5">
        <f t="shared" si="4"/>
        <v>0</v>
      </c>
    </row>
    <row r="86" spans="1:6" ht="12" customHeight="1">
      <c r="A86" s="57" t="s">
        <v>144</v>
      </c>
      <c r="B86" s="3" t="s">
        <v>141</v>
      </c>
      <c r="C86" s="4" t="s">
        <v>17</v>
      </c>
      <c r="D86" s="6">
        <f>2.05*2*1</f>
        <v>4.1</v>
      </c>
      <c r="E86" s="46">
        <v>0</v>
      </c>
      <c r="F86" s="5">
        <f t="shared" si="4"/>
        <v>0</v>
      </c>
    </row>
    <row r="87" spans="1:6" ht="12" customHeight="1">
      <c r="A87" s="57" t="s">
        <v>145</v>
      </c>
      <c r="B87" s="3" t="s">
        <v>239</v>
      </c>
      <c r="C87" s="4" t="s">
        <v>2</v>
      </c>
      <c r="D87" s="6">
        <f>+D79</f>
        <v>33.075</v>
      </c>
      <c r="E87" s="46">
        <v>0</v>
      </c>
      <c r="F87" s="5">
        <f t="shared" si="4"/>
        <v>0</v>
      </c>
    </row>
    <row r="88" spans="1:6" ht="12" customHeight="1">
      <c r="A88" s="57" t="s">
        <v>146</v>
      </c>
      <c r="B88" s="3" t="s">
        <v>149</v>
      </c>
      <c r="C88" s="4" t="s">
        <v>2</v>
      </c>
      <c r="D88" s="6">
        <f>+D81+D80*0.2</f>
        <v>40.69800000000001</v>
      </c>
      <c r="E88" s="46">
        <v>0</v>
      </c>
      <c r="F88" s="5">
        <f t="shared" si="4"/>
        <v>0</v>
      </c>
    </row>
    <row r="89" spans="1:6" ht="12" customHeight="1" hidden="1">
      <c r="A89" s="52" t="s">
        <v>147</v>
      </c>
      <c r="B89" s="53"/>
      <c r="C89" s="54"/>
      <c r="D89" s="55"/>
      <c r="E89" s="5"/>
      <c r="F89" s="5"/>
    </row>
    <row r="90" spans="1:6" ht="12" customHeight="1">
      <c r="A90" s="10">
        <v>5</v>
      </c>
      <c r="B90" s="51" t="s">
        <v>5</v>
      </c>
      <c r="C90" s="30"/>
      <c r="D90" s="56"/>
      <c r="E90" s="27"/>
      <c r="F90" s="15">
        <f>SUM(F74:F89)</f>
        <v>0</v>
      </c>
    </row>
    <row r="91" spans="1:6" ht="3" customHeight="1">
      <c r="A91" s="45"/>
      <c r="B91" s="45"/>
      <c r="C91" s="45"/>
      <c r="D91" s="45"/>
      <c r="E91" s="45"/>
      <c r="F91" s="45"/>
    </row>
    <row r="92" spans="1:2" ht="11.25" customHeight="1">
      <c r="A92" s="10">
        <v>6</v>
      </c>
      <c r="B92" s="13" t="s">
        <v>218</v>
      </c>
    </row>
    <row r="93" spans="1:6" ht="9.75" customHeight="1">
      <c r="A93" s="57" t="s">
        <v>83</v>
      </c>
      <c r="B93" s="3" t="s">
        <v>233</v>
      </c>
      <c r="C93" s="4" t="s">
        <v>3</v>
      </c>
      <c r="D93" s="6">
        <f>6*3</f>
        <v>18</v>
      </c>
      <c r="E93" s="46">
        <v>0</v>
      </c>
      <c r="F93" s="5">
        <f aca="true" t="shared" si="5" ref="F93:F107">+D93*E93</f>
        <v>0</v>
      </c>
    </row>
    <row r="94" spans="1:6" ht="9.75" customHeight="1">
      <c r="A94" s="57" t="s">
        <v>84</v>
      </c>
      <c r="B94" s="3" t="s">
        <v>215</v>
      </c>
      <c r="C94" s="4" t="s">
        <v>2</v>
      </c>
      <c r="D94" s="6">
        <f>+(0.6*0.6*1.05)*6*3</f>
        <v>6.803999999999999</v>
      </c>
      <c r="E94" s="46">
        <v>0</v>
      </c>
      <c r="F94" s="5">
        <f t="shared" si="5"/>
        <v>0</v>
      </c>
    </row>
    <row r="95" spans="1:6" ht="9.75" customHeight="1">
      <c r="A95" s="57" t="s">
        <v>85</v>
      </c>
      <c r="B95" s="3" t="s">
        <v>217</v>
      </c>
      <c r="C95" s="4" t="s">
        <v>3</v>
      </c>
      <c r="D95" s="6">
        <f>6*3</f>
        <v>18</v>
      </c>
      <c r="E95" s="46">
        <v>0</v>
      </c>
      <c r="F95" s="5">
        <f t="shared" si="5"/>
        <v>0</v>
      </c>
    </row>
    <row r="96" spans="1:6" ht="10.5" customHeight="1">
      <c r="A96" s="57" t="s">
        <v>86</v>
      </c>
      <c r="B96" s="3" t="s">
        <v>238</v>
      </c>
      <c r="C96" s="4" t="s">
        <v>2</v>
      </c>
      <c r="D96" s="6">
        <f>+(10.5*3*1.05)*3</f>
        <v>99.22500000000001</v>
      </c>
      <c r="E96" s="46">
        <v>0</v>
      </c>
      <c r="F96" s="5">
        <f t="shared" si="5"/>
        <v>0</v>
      </c>
    </row>
    <row r="97" spans="1:6" ht="10.5" customHeight="1">
      <c r="A97" s="57" t="s">
        <v>87</v>
      </c>
      <c r="B97" s="3" t="s">
        <v>129</v>
      </c>
      <c r="C97" s="4" t="s">
        <v>17</v>
      </c>
      <c r="D97" s="6">
        <f>+(6.6*2*1.05)*3</f>
        <v>41.58</v>
      </c>
      <c r="E97" s="46">
        <v>0</v>
      </c>
      <c r="F97" s="5">
        <f t="shared" si="5"/>
        <v>0</v>
      </c>
    </row>
    <row r="98" spans="1:6" ht="10.5" customHeight="1">
      <c r="A98" s="57" t="s">
        <v>150</v>
      </c>
      <c r="B98" s="3" t="s">
        <v>226</v>
      </c>
      <c r="C98" s="4" t="s">
        <v>2</v>
      </c>
      <c r="D98" s="6">
        <f>+(10.5*3*1.05)*3</f>
        <v>99.22500000000001</v>
      </c>
      <c r="E98" s="46">
        <v>0</v>
      </c>
      <c r="F98" s="5">
        <f t="shared" si="5"/>
        <v>0</v>
      </c>
    </row>
    <row r="99" spans="1:6" ht="10.5" customHeight="1">
      <c r="A99" s="57" t="s">
        <v>151</v>
      </c>
      <c r="B99" s="3" t="s">
        <v>135</v>
      </c>
      <c r="C99" s="4" t="s">
        <v>17</v>
      </c>
      <c r="D99" s="6">
        <f>+((6.6*3+3*2+10.5)*1.05)*3</f>
        <v>114.345</v>
      </c>
      <c r="E99" s="46">
        <v>0</v>
      </c>
      <c r="F99" s="5">
        <f t="shared" si="5"/>
        <v>0</v>
      </c>
    </row>
    <row r="100" spans="1:6" ht="10.5" customHeight="1">
      <c r="A100" s="57" t="s">
        <v>152</v>
      </c>
      <c r="B100" s="3" t="s">
        <v>225</v>
      </c>
      <c r="C100" s="4" t="s">
        <v>2</v>
      </c>
      <c r="D100" s="6">
        <f>+(10.5*3*1.05)*3</f>
        <v>99.22500000000001</v>
      </c>
      <c r="E100" s="46">
        <v>0</v>
      </c>
      <c r="F100" s="5">
        <f t="shared" si="5"/>
        <v>0</v>
      </c>
    </row>
    <row r="101" spans="1:6" ht="10.5" customHeight="1">
      <c r="A101" s="57" t="s">
        <v>153</v>
      </c>
      <c r="B101" s="42" t="s">
        <v>232</v>
      </c>
      <c r="C101" s="4" t="s">
        <v>2</v>
      </c>
      <c r="D101" s="6">
        <f>(4.52*3.05)*3</f>
        <v>41.35799999999999</v>
      </c>
      <c r="E101" s="46">
        <v>0</v>
      </c>
      <c r="F101" s="5">
        <f t="shared" si="5"/>
        <v>0</v>
      </c>
    </row>
    <row r="102" spans="1:6" ht="10.5" customHeight="1">
      <c r="A102" s="57" t="s">
        <v>154</v>
      </c>
      <c r="B102" s="3" t="s">
        <v>137</v>
      </c>
      <c r="C102" s="4" t="s">
        <v>2</v>
      </c>
      <c r="D102" s="6">
        <f>(13.41)*3</f>
        <v>40.230000000000004</v>
      </c>
      <c r="E102" s="46">
        <v>0</v>
      </c>
      <c r="F102" s="5">
        <f t="shared" si="5"/>
        <v>0</v>
      </c>
    </row>
    <row r="103" spans="1:6" ht="10.5" customHeight="1">
      <c r="A103" s="57" t="s">
        <v>155</v>
      </c>
      <c r="B103" s="3" t="s">
        <v>138</v>
      </c>
      <c r="C103" s="4" t="s">
        <v>17</v>
      </c>
      <c r="D103" s="6">
        <f>10.5*1.05*3</f>
        <v>33.075</v>
      </c>
      <c r="E103" s="46">
        <v>0</v>
      </c>
      <c r="F103" s="5">
        <f t="shared" si="5"/>
        <v>0</v>
      </c>
    </row>
    <row r="104" spans="1:6" ht="10.5" customHeight="1">
      <c r="A104" s="57" t="s">
        <v>156</v>
      </c>
      <c r="B104" s="3" t="s">
        <v>139</v>
      </c>
      <c r="C104" s="4" t="s">
        <v>17</v>
      </c>
      <c r="D104" s="6">
        <f>14.86*3</f>
        <v>44.58</v>
      </c>
      <c r="E104" s="46">
        <v>0</v>
      </c>
      <c r="F104" s="5">
        <f t="shared" si="5"/>
        <v>0</v>
      </c>
    </row>
    <row r="105" spans="1:6" ht="10.5" customHeight="1">
      <c r="A105" s="57" t="s">
        <v>157</v>
      </c>
      <c r="B105" s="3" t="s">
        <v>141</v>
      </c>
      <c r="C105" s="4" t="s">
        <v>17</v>
      </c>
      <c r="D105" s="6">
        <f>2.05*2*3</f>
        <v>12.299999999999999</v>
      </c>
      <c r="E105" s="46">
        <v>0</v>
      </c>
      <c r="F105" s="5">
        <f t="shared" si="5"/>
        <v>0</v>
      </c>
    </row>
    <row r="106" spans="1:6" ht="10.5" customHeight="1">
      <c r="A106" s="57" t="s">
        <v>159</v>
      </c>
      <c r="B106" s="3" t="s">
        <v>239</v>
      </c>
      <c r="C106" s="4" t="s">
        <v>2</v>
      </c>
      <c r="D106" s="6">
        <f>+D98</f>
        <v>99.22500000000001</v>
      </c>
      <c r="E106" s="46">
        <v>0</v>
      </c>
      <c r="F106" s="5">
        <f t="shared" si="5"/>
        <v>0</v>
      </c>
    </row>
    <row r="107" spans="1:6" ht="10.5" customHeight="1">
      <c r="A107" s="57" t="s">
        <v>160</v>
      </c>
      <c r="B107" s="3" t="s">
        <v>149</v>
      </c>
      <c r="C107" s="4" t="s">
        <v>2</v>
      </c>
      <c r="D107" s="6">
        <f>+(D100+D99*0.2)</f>
        <v>122.09400000000001</v>
      </c>
      <c r="E107" s="46">
        <v>0</v>
      </c>
      <c r="F107" s="5">
        <f t="shared" si="5"/>
        <v>0</v>
      </c>
    </row>
    <row r="108" spans="1:6" ht="12" customHeight="1" hidden="1">
      <c r="A108" s="9" t="s">
        <v>162</v>
      </c>
      <c r="B108" s="53"/>
      <c r="C108" s="54"/>
      <c r="D108" s="55"/>
      <c r="E108" s="5"/>
      <c r="F108" s="5"/>
    </row>
    <row r="109" spans="1:6" ht="12" customHeight="1">
      <c r="A109" s="10">
        <v>6</v>
      </c>
      <c r="B109" s="13" t="s">
        <v>7</v>
      </c>
      <c r="C109" s="30"/>
      <c r="D109" s="31"/>
      <c r="E109" s="27"/>
      <c r="F109" s="15">
        <f>SUM(F93:F108)</f>
        <v>0</v>
      </c>
    </row>
    <row r="110" spans="1:6" ht="3" customHeight="1">
      <c r="A110" s="45"/>
      <c r="B110" s="45"/>
      <c r="C110" s="45"/>
      <c r="D110" s="45"/>
      <c r="E110" s="45"/>
      <c r="F110" s="45"/>
    </row>
    <row r="111" spans="1:6" ht="12" customHeight="1">
      <c r="A111" s="10">
        <v>7</v>
      </c>
      <c r="B111" s="13" t="s">
        <v>219</v>
      </c>
      <c r="F111" s="5"/>
    </row>
    <row r="112" spans="1:6" ht="12" customHeight="1">
      <c r="A112" s="57" t="s">
        <v>88</v>
      </c>
      <c r="B112" s="3" t="s">
        <v>233</v>
      </c>
      <c r="C112" s="4" t="s">
        <v>3</v>
      </c>
      <c r="D112" s="6">
        <v>20</v>
      </c>
      <c r="E112" s="46">
        <v>0</v>
      </c>
      <c r="F112" s="5">
        <f>+D112*E112</f>
        <v>0</v>
      </c>
    </row>
    <row r="113" spans="1:6" ht="12" customHeight="1">
      <c r="A113" s="57" t="s">
        <v>89</v>
      </c>
      <c r="B113" s="3" t="s">
        <v>215</v>
      </c>
      <c r="C113" s="4" t="s">
        <v>2</v>
      </c>
      <c r="D113" s="6">
        <f>0.6*0.6*1.1*20</f>
        <v>7.92</v>
      </c>
      <c r="E113" s="46">
        <v>0</v>
      </c>
      <c r="F113" s="5">
        <f>+D113*E113</f>
        <v>0</v>
      </c>
    </row>
    <row r="114" spans="1:6" ht="12" customHeight="1">
      <c r="A114" s="57" t="s">
        <v>90</v>
      </c>
      <c r="B114" s="3" t="s">
        <v>217</v>
      </c>
      <c r="C114" s="4" t="s">
        <v>3</v>
      </c>
      <c r="D114" s="6">
        <v>20</v>
      </c>
      <c r="E114" s="46">
        <v>0</v>
      </c>
      <c r="F114" s="5">
        <f>+D114*E114</f>
        <v>0</v>
      </c>
    </row>
    <row r="115" spans="1:6" ht="12" customHeight="1" hidden="1">
      <c r="A115" s="57" t="s">
        <v>92</v>
      </c>
      <c r="B115" s="13"/>
      <c r="F115" s="5"/>
    </row>
    <row r="116" spans="1:6" ht="10.5" customHeight="1">
      <c r="A116" s="10">
        <v>7</v>
      </c>
      <c r="B116" s="13" t="s">
        <v>8</v>
      </c>
      <c r="C116" s="30"/>
      <c r="D116" s="31"/>
      <c r="E116" s="27"/>
      <c r="F116" s="15">
        <f>SUM(F112:F115)</f>
        <v>0</v>
      </c>
    </row>
    <row r="117" spans="1:6" ht="3" customHeight="1">
      <c r="A117" s="45"/>
      <c r="B117" s="45"/>
      <c r="C117" s="45"/>
      <c r="D117" s="45"/>
      <c r="E117" s="45"/>
      <c r="F117" s="45"/>
    </row>
    <row r="118" spans="1:6" ht="10.5" customHeight="1">
      <c r="A118" s="10">
        <v>8</v>
      </c>
      <c r="B118" s="13" t="s">
        <v>255</v>
      </c>
      <c r="F118" s="5"/>
    </row>
    <row r="119" spans="1:6" ht="9" customHeight="1">
      <c r="A119" s="9" t="s">
        <v>93</v>
      </c>
      <c r="B119" s="3" t="s">
        <v>233</v>
      </c>
      <c r="C119" s="4" t="s">
        <v>3</v>
      </c>
      <c r="D119" s="6">
        <v>5</v>
      </c>
      <c r="E119" s="46">
        <v>0</v>
      </c>
      <c r="F119" s="5">
        <f>+D119*E119</f>
        <v>0</v>
      </c>
    </row>
    <row r="120" spans="1:6" ht="9.75" customHeight="1">
      <c r="A120" s="9" t="s">
        <v>96</v>
      </c>
      <c r="B120" s="3" t="s">
        <v>215</v>
      </c>
      <c r="C120" s="4" t="s">
        <v>2</v>
      </c>
      <c r="D120" s="6">
        <f>0.6*0.6*1.1*5</f>
        <v>1.98</v>
      </c>
      <c r="E120" s="46">
        <v>0</v>
      </c>
      <c r="F120" s="5">
        <f>+D120*E120</f>
        <v>0</v>
      </c>
    </row>
    <row r="121" spans="1:6" ht="9.75" customHeight="1">
      <c r="A121" s="9" t="s">
        <v>97</v>
      </c>
      <c r="B121" s="3" t="s">
        <v>217</v>
      </c>
      <c r="C121" s="4" t="s">
        <v>3</v>
      </c>
      <c r="D121" s="6">
        <v>5</v>
      </c>
      <c r="E121" s="46">
        <v>0</v>
      </c>
      <c r="F121" s="5">
        <f>+D121*E121</f>
        <v>0</v>
      </c>
    </row>
    <row r="122" spans="1:6" ht="9.75" customHeight="1" hidden="1">
      <c r="A122" s="9" t="s">
        <v>103</v>
      </c>
      <c r="B122" s="13"/>
      <c r="F122" s="5"/>
    </row>
    <row r="123" spans="1:6" ht="13.5" customHeight="1">
      <c r="A123" s="10">
        <v>8</v>
      </c>
      <c r="B123" s="13" t="s">
        <v>9</v>
      </c>
      <c r="C123" s="30"/>
      <c r="D123" s="31"/>
      <c r="E123" s="27"/>
      <c r="F123" s="15">
        <f>SUM(F119:F122)</f>
        <v>0</v>
      </c>
    </row>
    <row r="124" spans="1:6" ht="2.25" customHeight="1">
      <c r="A124" s="45"/>
      <c r="B124" s="45"/>
      <c r="C124" s="45"/>
      <c r="D124" s="45"/>
      <c r="E124" s="45"/>
      <c r="F124" s="45"/>
    </row>
    <row r="125" spans="1:6" ht="13.5" customHeight="1">
      <c r="A125" s="10">
        <v>10</v>
      </c>
      <c r="B125" s="13" t="s">
        <v>173</v>
      </c>
      <c r="C125" s="27"/>
      <c r="D125" s="27"/>
      <c r="E125" s="27"/>
      <c r="F125" s="27"/>
    </row>
    <row r="126" spans="1:6" ht="10.5" customHeight="1">
      <c r="A126" s="9" t="s">
        <v>174</v>
      </c>
      <c r="B126" s="3" t="s">
        <v>110</v>
      </c>
      <c r="C126" s="4" t="s">
        <v>2</v>
      </c>
      <c r="D126" s="6">
        <f>+((1.13+0.93)*2.75)*1.1</f>
        <v>6.2315000000000005</v>
      </c>
      <c r="E126" s="46">
        <v>0</v>
      </c>
      <c r="F126" s="5">
        <f>+D126*E126</f>
        <v>0</v>
      </c>
    </row>
    <row r="127" spans="1:6" ht="10.5" customHeight="1">
      <c r="A127" s="9" t="s">
        <v>175</v>
      </c>
      <c r="B127" s="3" t="s">
        <v>111</v>
      </c>
      <c r="C127" s="4" t="s">
        <v>3</v>
      </c>
      <c r="D127" s="6">
        <v>4</v>
      </c>
      <c r="E127" s="46">
        <v>0</v>
      </c>
      <c r="F127" s="5">
        <f>+D127*E127</f>
        <v>0</v>
      </c>
    </row>
    <row r="128" spans="1:6" ht="10.5" customHeight="1">
      <c r="A128" s="9" t="s">
        <v>176</v>
      </c>
      <c r="B128" s="3" t="s">
        <v>158</v>
      </c>
      <c r="C128" s="4" t="s">
        <v>17</v>
      </c>
      <c r="D128" s="6">
        <f>(15.06+1.5)*1.05</f>
        <v>17.388</v>
      </c>
      <c r="E128" s="46">
        <v>0</v>
      </c>
      <c r="F128" s="5">
        <f>+D128*E128</f>
        <v>0</v>
      </c>
    </row>
    <row r="129" spans="1:6" ht="10.5" customHeight="1">
      <c r="A129" s="9" t="s">
        <v>177</v>
      </c>
      <c r="B129" s="3" t="s">
        <v>161</v>
      </c>
      <c r="C129" s="4" t="s">
        <v>17</v>
      </c>
      <c r="D129" s="6">
        <f>+D128</f>
        <v>17.388</v>
      </c>
      <c r="E129" s="46">
        <v>0</v>
      </c>
      <c r="F129" s="5">
        <f>+D129*E129</f>
        <v>0</v>
      </c>
    </row>
    <row r="130" spans="1:6" ht="10.5" customHeight="1">
      <c r="A130" s="9" t="s">
        <v>178</v>
      </c>
      <c r="B130" s="3" t="s">
        <v>148</v>
      </c>
      <c r="C130" s="4" t="s">
        <v>17</v>
      </c>
      <c r="D130" s="6">
        <f>+D128</f>
        <v>17.388</v>
      </c>
      <c r="E130" s="46">
        <v>0</v>
      </c>
      <c r="F130" s="5">
        <f aca="true" t="shared" si="6" ref="F130:F136">+D130*E130</f>
        <v>0</v>
      </c>
    </row>
    <row r="131" spans="1:6" ht="10.5" customHeight="1">
      <c r="A131" s="9" t="s">
        <v>179</v>
      </c>
      <c r="B131" s="3" t="s">
        <v>163</v>
      </c>
      <c r="C131" s="4" t="s">
        <v>17</v>
      </c>
      <c r="D131" s="6">
        <f>4*6*1.05</f>
        <v>25.200000000000003</v>
      </c>
      <c r="E131" s="46">
        <v>0</v>
      </c>
      <c r="F131" s="5">
        <f t="shared" si="6"/>
        <v>0</v>
      </c>
    </row>
    <row r="132" spans="1:6" ht="10.5" customHeight="1">
      <c r="A132" s="9" t="s">
        <v>180</v>
      </c>
      <c r="B132" s="3" t="s">
        <v>164</v>
      </c>
      <c r="C132" s="4" t="s">
        <v>17</v>
      </c>
      <c r="D132" s="6">
        <f>+D128</f>
        <v>17.388</v>
      </c>
      <c r="E132" s="46">
        <v>0</v>
      </c>
      <c r="F132" s="5">
        <f t="shared" si="6"/>
        <v>0</v>
      </c>
    </row>
    <row r="133" spans="1:6" ht="10.5" customHeight="1">
      <c r="A133" s="9" t="s">
        <v>181</v>
      </c>
      <c r="B133" s="3" t="s">
        <v>165</v>
      </c>
      <c r="C133" s="4" t="s">
        <v>17</v>
      </c>
      <c r="D133" s="6">
        <f>15.06*1.05</f>
        <v>15.813</v>
      </c>
      <c r="E133" s="46">
        <v>0</v>
      </c>
      <c r="F133" s="5">
        <f t="shared" si="6"/>
        <v>0</v>
      </c>
    </row>
    <row r="134" spans="1:6" ht="10.5" customHeight="1">
      <c r="A134" s="9" t="s">
        <v>182</v>
      </c>
      <c r="B134" s="3" t="s">
        <v>167</v>
      </c>
      <c r="C134" s="4" t="s">
        <v>2</v>
      </c>
      <c r="D134" s="6">
        <f>11.88*1.05</f>
        <v>12.474000000000002</v>
      </c>
      <c r="E134" s="46">
        <v>0</v>
      </c>
      <c r="F134" s="5">
        <f t="shared" si="6"/>
        <v>0</v>
      </c>
    </row>
    <row r="135" spans="1:6" ht="10.5" customHeight="1">
      <c r="A135" s="9" t="s">
        <v>183</v>
      </c>
      <c r="B135" s="3" t="s">
        <v>127</v>
      </c>
      <c r="C135" s="4" t="s">
        <v>2</v>
      </c>
      <c r="D135" s="6">
        <f>+((1.5*3+3.05*2+2.25)*3.45)*1.05</f>
        <v>46.549125000000004</v>
      </c>
      <c r="E135" s="46">
        <v>0</v>
      </c>
      <c r="F135" s="5">
        <f t="shared" si="6"/>
        <v>0</v>
      </c>
    </row>
    <row r="136" spans="1:6" ht="10.5" customHeight="1">
      <c r="A136" s="9" t="s">
        <v>184</v>
      </c>
      <c r="B136" s="3" t="s">
        <v>166</v>
      </c>
      <c r="C136" s="4" t="s">
        <v>17</v>
      </c>
      <c r="D136" s="6">
        <f>+D135*0.1</f>
        <v>4.654912500000001</v>
      </c>
      <c r="E136" s="46">
        <v>0</v>
      </c>
      <c r="F136" s="5">
        <f t="shared" si="6"/>
        <v>0</v>
      </c>
    </row>
    <row r="137" spans="1:6" ht="10.5" customHeight="1">
      <c r="A137" s="9" t="s">
        <v>185</v>
      </c>
      <c r="B137" s="3" t="s">
        <v>169</v>
      </c>
      <c r="C137" s="4" t="s">
        <v>2</v>
      </c>
      <c r="D137" s="6">
        <f>+(8.52+8.16)*2.75*1.05</f>
        <v>48.1635</v>
      </c>
      <c r="E137" s="46">
        <v>0</v>
      </c>
      <c r="F137" s="5">
        <f aca="true" t="shared" si="7" ref="F137:F144">+D137*E137</f>
        <v>0</v>
      </c>
    </row>
    <row r="138" spans="1:6" ht="9.75" customHeight="1">
      <c r="A138" s="9" t="s">
        <v>253</v>
      </c>
      <c r="B138" s="53" t="s">
        <v>168</v>
      </c>
      <c r="C138" s="54" t="s">
        <v>17</v>
      </c>
      <c r="D138" s="55">
        <f>D137*0.25</f>
        <v>12.040875</v>
      </c>
      <c r="E138" s="46">
        <v>0</v>
      </c>
      <c r="F138" s="5">
        <f t="shared" si="7"/>
        <v>0</v>
      </c>
    </row>
    <row r="139" spans="1:6" ht="11.25" customHeight="1">
      <c r="A139" s="9" t="s">
        <v>220</v>
      </c>
      <c r="B139" s="3" t="s">
        <v>136</v>
      </c>
      <c r="C139" s="4" t="s">
        <v>2</v>
      </c>
      <c r="D139" s="6">
        <f>+(6.23*4.45)*1.05</f>
        <v>29.109675000000003</v>
      </c>
      <c r="E139" s="46">
        <v>0</v>
      </c>
      <c r="F139" s="5">
        <f t="shared" si="7"/>
        <v>0</v>
      </c>
    </row>
    <row r="140" spans="1:6" ht="11.25" customHeight="1">
      <c r="A140" s="9" t="s">
        <v>186</v>
      </c>
      <c r="B140" s="3" t="s">
        <v>170</v>
      </c>
      <c r="C140" s="4" t="s">
        <v>17</v>
      </c>
      <c r="D140" s="6">
        <f>+D139*0.5</f>
        <v>14.554837500000001</v>
      </c>
      <c r="E140" s="46">
        <v>0</v>
      </c>
      <c r="F140" s="5">
        <f t="shared" si="7"/>
        <v>0</v>
      </c>
    </row>
    <row r="141" spans="1:6" ht="10.5" customHeight="1">
      <c r="A141" s="9" t="s">
        <v>187</v>
      </c>
      <c r="B141" s="3" t="s">
        <v>171</v>
      </c>
      <c r="C141" s="4" t="s">
        <v>2</v>
      </c>
      <c r="D141" s="6">
        <f>1*2.75*2</f>
        <v>5.5</v>
      </c>
      <c r="E141" s="46">
        <v>0</v>
      </c>
      <c r="F141" s="5">
        <f t="shared" si="7"/>
        <v>0</v>
      </c>
    </row>
    <row r="142" spans="1:6" ht="10.5" customHeight="1">
      <c r="A142" s="9" t="s">
        <v>188</v>
      </c>
      <c r="B142" s="3" t="s">
        <v>137</v>
      </c>
      <c r="C142" s="4" t="s">
        <v>2</v>
      </c>
      <c r="D142" s="6">
        <f>+(3.578+3.57)*1.05</f>
        <v>7.5054</v>
      </c>
      <c r="E142" s="46">
        <v>0</v>
      </c>
      <c r="F142" s="5">
        <f t="shared" si="7"/>
        <v>0</v>
      </c>
    </row>
    <row r="143" spans="1:6" ht="10.5" customHeight="1">
      <c r="A143" s="9" t="s">
        <v>189</v>
      </c>
      <c r="B143" s="3" t="s">
        <v>139</v>
      </c>
      <c r="C143" s="4" t="s">
        <v>17</v>
      </c>
      <c r="D143" s="6">
        <f>6.23*1.05</f>
        <v>6.541500000000001</v>
      </c>
      <c r="E143" s="46">
        <v>0</v>
      </c>
      <c r="F143" s="5">
        <f t="shared" si="7"/>
        <v>0</v>
      </c>
    </row>
    <row r="144" spans="1:6" ht="10.5" customHeight="1">
      <c r="A144" s="9" t="s">
        <v>190</v>
      </c>
      <c r="B144" s="3" t="s">
        <v>172</v>
      </c>
      <c r="C144" s="4" t="s">
        <v>2</v>
      </c>
      <c r="D144" s="6">
        <f>+(8.52+8.16)*2*1.05</f>
        <v>35.028</v>
      </c>
      <c r="E144" s="46">
        <v>0</v>
      </c>
      <c r="F144" s="68">
        <f t="shared" si="7"/>
        <v>0</v>
      </c>
    </row>
    <row r="145" spans="1:6" ht="2.25" customHeight="1">
      <c r="A145" s="45"/>
      <c r="B145" s="45"/>
      <c r="C145" s="45"/>
      <c r="D145" s="45"/>
      <c r="E145" s="45"/>
      <c r="F145" s="45"/>
    </row>
    <row r="146" spans="1:6" ht="11.25" customHeight="1">
      <c r="A146" s="72" t="s">
        <v>68</v>
      </c>
      <c r="B146" s="72" t="s">
        <v>69</v>
      </c>
      <c r="C146" s="73" t="s">
        <v>29</v>
      </c>
      <c r="D146" s="73" t="s">
        <v>0</v>
      </c>
      <c r="E146" s="74" t="s">
        <v>70</v>
      </c>
      <c r="F146" s="74"/>
    </row>
    <row r="147" spans="1:6" ht="11.25" customHeight="1">
      <c r="A147" s="72"/>
      <c r="B147" s="72"/>
      <c r="C147" s="73"/>
      <c r="D147" s="73"/>
      <c r="E147" s="43" t="s">
        <v>71</v>
      </c>
      <c r="F147" s="43" t="s">
        <v>72</v>
      </c>
    </row>
    <row r="148" spans="1:6" ht="3" customHeight="1">
      <c r="A148" s="45"/>
      <c r="B148" s="45"/>
      <c r="C148" s="45"/>
      <c r="D148" s="45"/>
      <c r="E148" s="45"/>
      <c r="F148" s="45"/>
    </row>
    <row r="149" spans="1:6" ht="11.25" customHeight="1">
      <c r="A149" s="9" t="s">
        <v>254</v>
      </c>
      <c r="B149" s="3" t="s">
        <v>240</v>
      </c>
      <c r="C149" s="4" t="s">
        <v>2</v>
      </c>
      <c r="D149" s="6">
        <f>D137*0.3</f>
        <v>14.44905</v>
      </c>
      <c r="E149" s="46">
        <v>0</v>
      </c>
      <c r="F149" s="5">
        <f>+D149*E149</f>
        <v>0</v>
      </c>
    </row>
    <row r="150" spans="1:6" ht="11.25" customHeight="1">
      <c r="A150" s="9" t="s">
        <v>191</v>
      </c>
      <c r="B150" s="3" t="s">
        <v>149</v>
      </c>
      <c r="C150" s="4" t="s">
        <v>2</v>
      </c>
      <c r="D150" s="6">
        <f>+D139*1.05</f>
        <v>30.565158750000005</v>
      </c>
      <c r="E150" s="46">
        <v>0</v>
      </c>
      <c r="F150" s="5">
        <f>+D150*E150</f>
        <v>0</v>
      </c>
    </row>
    <row r="151" ht="11.25" customHeight="1" hidden="1">
      <c r="A151" s="9" t="s">
        <v>234</v>
      </c>
    </row>
    <row r="152" spans="1:6" ht="12" customHeight="1">
      <c r="A152" s="7">
        <v>10</v>
      </c>
      <c r="B152" s="8" t="s">
        <v>10</v>
      </c>
      <c r="C152" s="44"/>
      <c r="D152" s="6"/>
      <c r="E152" s="33"/>
      <c r="F152" s="15">
        <f>SUM(F126:F150)</f>
        <v>0</v>
      </c>
    </row>
    <row r="153" spans="1:6" ht="2.25" customHeight="1">
      <c r="A153" s="39"/>
      <c r="B153" s="39"/>
      <c r="C153" s="39"/>
      <c r="D153" s="40"/>
      <c r="E153" s="41"/>
      <c r="F153" s="41"/>
    </row>
    <row r="154" spans="1:6" ht="11.25" customHeight="1">
      <c r="A154" s="10">
        <v>11</v>
      </c>
      <c r="B154" s="13" t="s">
        <v>227</v>
      </c>
      <c r="C154" s="1"/>
      <c r="D154" s="6"/>
      <c r="E154" s="33"/>
      <c r="F154" s="33"/>
    </row>
    <row r="155" spans="1:6" ht="10.5" customHeight="1">
      <c r="A155" s="9" t="s">
        <v>98</v>
      </c>
      <c r="B155" s="3" t="s">
        <v>221</v>
      </c>
      <c r="C155" s="4" t="s">
        <v>13</v>
      </c>
      <c r="D155" s="6">
        <f>0.8*0.8*1*2</f>
        <v>1.2800000000000002</v>
      </c>
      <c r="E155" s="46">
        <v>0</v>
      </c>
      <c r="F155" s="5">
        <f aca="true" t="shared" si="8" ref="F155:F162">+D155*E155</f>
        <v>0</v>
      </c>
    </row>
    <row r="156" spans="1:6" ht="10.5" customHeight="1">
      <c r="A156" s="9" t="s">
        <v>94</v>
      </c>
      <c r="B156" s="3" t="s">
        <v>222</v>
      </c>
      <c r="C156" s="4" t="s">
        <v>2</v>
      </c>
      <c r="D156" s="6">
        <f>+D154+D155*0.5</f>
        <v>0.6400000000000001</v>
      </c>
      <c r="E156" s="46">
        <v>0</v>
      </c>
      <c r="F156" s="5">
        <f t="shared" si="8"/>
        <v>0</v>
      </c>
    </row>
    <row r="157" spans="1:6" ht="10.5" customHeight="1">
      <c r="A157" s="9" t="s">
        <v>95</v>
      </c>
      <c r="B157" s="3" t="s">
        <v>223</v>
      </c>
      <c r="C157" s="4" t="s">
        <v>17</v>
      </c>
      <c r="D157" s="6">
        <v>6</v>
      </c>
      <c r="E157" s="46">
        <v>0</v>
      </c>
      <c r="F157" s="5">
        <f t="shared" si="8"/>
        <v>0</v>
      </c>
    </row>
    <row r="158" spans="1:6" ht="10.5" customHeight="1">
      <c r="A158" s="9" t="s">
        <v>99</v>
      </c>
      <c r="B158" s="3" t="s">
        <v>230</v>
      </c>
      <c r="C158" s="4" t="s">
        <v>17</v>
      </c>
      <c r="D158" s="6">
        <v>6</v>
      </c>
      <c r="E158" s="46">
        <v>0</v>
      </c>
      <c r="F158" s="5">
        <f t="shared" si="8"/>
        <v>0</v>
      </c>
    </row>
    <row r="159" spans="1:6" ht="10.5" customHeight="1">
      <c r="A159" s="9" t="s">
        <v>100</v>
      </c>
      <c r="B159" s="3" t="s">
        <v>127</v>
      </c>
      <c r="C159" s="4" t="s">
        <v>2</v>
      </c>
      <c r="D159" s="6">
        <f>+(0.7*3*2+5.8*1)*1.05</f>
        <v>10.5</v>
      </c>
      <c r="E159" s="46">
        <v>0</v>
      </c>
      <c r="F159" s="5">
        <f t="shared" si="8"/>
        <v>0</v>
      </c>
    </row>
    <row r="160" spans="1:6" ht="10.5" customHeight="1">
      <c r="A160" s="9" t="s">
        <v>211</v>
      </c>
      <c r="B160" s="3" t="s">
        <v>136</v>
      </c>
      <c r="C160" s="4" t="s">
        <v>2</v>
      </c>
      <c r="D160" s="6">
        <f>12*2</f>
        <v>24</v>
      </c>
      <c r="E160" s="46">
        <v>0</v>
      </c>
      <c r="F160" s="5">
        <f t="shared" si="8"/>
        <v>0</v>
      </c>
    </row>
    <row r="161" spans="1:6" ht="10.5" customHeight="1">
      <c r="A161" s="9" t="s">
        <v>212</v>
      </c>
      <c r="B161" s="3" t="s">
        <v>170</v>
      </c>
      <c r="C161" s="4" t="s">
        <v>17</v>
      </c>
      <c r="D161" s="6">
        <f>14+10</f>
        <v>24</v>
      </c>
      <c r="E161" s="46">
        <v>0</v>
      </c>
      <c r="F161" s="5">
        <f t="shared" si="8"/>
        <v>0</v>
      </c>
    </row>
    <row r="162" spans="1:6" ht="10.5" customHeight="1">
      <c r="A162" s="9" t="s">
        <v>213</v>
      </c>
      <c r="B162" s="3" t="s">
        <v>149</v>
      </c>
      <c r="C162" s="4" t="s">
        <v>2</v>
      </c>
      <c r="D162" s="6">
        <f>+D160+D161*0.4</f>
        <v>33.6</v>
      </c>
      <c r="E162" s="46">
        <v>0</v>
      </c>
      <c r="F162" s="5">
        <f t="shared" si="8"/>
        <v>0</v>
      </c>
    </row>
    <row r="163" spans="1:6" ht="11.25" customHeight="1" hidden="1">
      <c r="A163" s="9" t="s">
        <v>214</v>
      </c>
      <c r="B163" s="13"/>
      <c r="C163" s="1"/>
      <c r="D163" s="6"/>
      <c r="E163" s="33"/>
      <c r="F163" s="33"/>
    </row>
    <row r="164" spans="1:6" ht="12" customHeight="1">
      <c r="A164" s="10">
        <v>11</v>
      </c>
      <c r="B164" s="13" t="s">
        <v>11</v>
      </c>
      <c r="C164" s="10"/>
      <c r="D164" s="11"/>
      <c r="E164" s="30"/>
      <c r="F164" s="15">
        <f>SUM(F155:F163)</f>
        <v>0</v>
      </c>
    </row>
    <row r="165" spans="1:6" ht="3" customHeight="1">
      <c r="A165" s="39"/>
      <c r="B165" s="39"/>
      <c r="C165" s="39"/>
      <c r="D165" s="40"/>
      <c r="E165" s="41"/>
      <c r="F165" s="41"/>
    </row>
    <row r="166" spans="1:6" ht="11.25" customHeight="1">
      <c r="A166" s="10">
        <v>12</v>
      </c>
      <c r="B166" s="13" t="s">
        <v>15</v>
      </c>
      <c r="C166" s="1"/>
      <c r="D166" s="6"/>
      <c r="E166" s="33"/>
      <c r="F166" s="33"/>
    </row>
    <row r="167" spans="1:6" ht="11.25" customHeight="1">
      <c r="A167" s="34" t="s">
        <v>228</v>
      </c>
      <c r="B167" s="3" t="s">
        <v>104</v>
      </c>
      <c r="C167" s="4" t="s">
        <v>202</v>
      </c>
      <c r="D167" s="6">
        <v>1</v>
      </c>
      <c r="E167" s="67">
        <v>0</v>
      </c>
      <c r="F167" s="5">
        <f>+D167*E167</f>
        <v>0</v>
      </c>
    </row>
    <row r="168" ht="11.25" customHeight="1" hidden="1">
      <c r="A168" s="34" t="s">
        <v>229</v>
      </c>
    </row>
    <row r="169" spans="1:6" ht="14.25" customHeight="1">
      <c r="A169" s="10">
        <v>12</v>
      </c>
      <c r="B169" s="13" t="s">
        <v>12</v>
      </c>
      <c r="C169" s="10"/>
      <c r="D169" s="11"/>
      <c r="E169" s="30"/>
      <c r="F169" s="15">
        <f>SUM(F167:F168)</f>
        <v>0</v>
      </c>
    </row>
    <row r="170" spans="1:6" ht="8.25" customHeight="1">
      <c r="A170" s="39"/>
      <c r="B170" s="39"/>
      <c r="C170" s="39"/>
      <c r="D170" s="40"/>
      <c r="E170" s="41"/>
      <c r="F170" s="41"/>
    </row>
    <row r="171" spans="1:6" ht="24" customHeight="1">
      <c r="A171" s="75" t="s">
        <v>242</v>
      </c>
      <c r="B171" s="75"/>
      <c r="C171" s="75"/>
      <c r="D171" s="75"/>
      <c r="E171" s="27"/>
      <c r="F171" s="23">
        <f>+F26+F47+F59+F68+F90+F109+F116+F123+F152+F164+F169</f>
        <v>0</v>
      </c>
    </row>
    <row r="172" spans="1:6" ht="9" customHeight="1">
      <c r="A172" s="39"/>
      <c r="B172" s="39"/>
      <c r="C172" s="39"/>
      <c r="D172" s="40"/>
      <c r="E172" s="41"/>
      <c r="F172" s="41"/>
    </row>
    <row r="173" spans="1:4" ht="12" customHeight="1">
      <c r="A173" s="35"/>
      <c r="B173" s="36"/>
      <c r="C173" s="37"/>
      <c r="D173" s="38"/>
    </row>
    <row r="174" spans="1:4" ht="12" customHeight="1">
      <c r="A174" s="35"/>
      <c r="B174" s="36"/>
      <c r="C174" s="37"/>
      <c r="D174" s="38"/>
    </row>
    <row r="175" ht="12" customHeight="1"/>
    <row r="176" ht="12" customHeight="1">
      <c r="B176" s="64" t="s">
        <v>244</v>
      </c>
    </row>
    <row r="177" ht="3" customHeight="1"/>
    <row r="178" ht="12" customHeight="1">
      <c r="B178" s="14" t="s">
        <v>245</v>
      </c>
    </row>
    <row r="179" ht="3" customHeight="1"/>
    <row r="180" spans="1:2" ht="12" customHeight="1">
      <c r="A180" s="25">
        <v>1</v>
      </c>
      <c r="B180" s="14" t="s">
        <v>246</v>
      </c>
    </row>
    <row r="181" ht="12" customHeight="1">
      <c r="B181" s="14" t="s">
        <v>251</v>
      </c>
    </row>
    <row r="182" spans="1:2" ht="12" customHeight="1">
      <c r="A182" s="25">
        <v>2</v>
      </c>
      <c r="B182" s="14" t="s">
        <v>247</v>
      </c>
    </row>
    <row r="183" spans="1:2" ht="12" customHeight="1">
      <c r="A183" s="25">
        <v>3</v>
      </c>
      <c r="B183" s="14" t="s">
        <v>248</v>
      </c>
    </row>
    <row r="184" spans="1:2" ht="12" customHeight="1">
      <c r="A184" s="25">
        <v>4</v>
      </c>
      <c r="B184" s="14" t="s">
        <v>249</v>
      </c>
    </row>
    <row r="185" ht="12.75">
      <c r="B185" s="14" t="s">
        <v>250</v>
      </c>
    </row>
  </sheetData>
  <sheetProtection/>
  <mergeCells count="16">
    <mergeCell ref="A171:D171"/>
    <mergeCell ref="A146:A147"/>
    <mergeCell ref="B146:B147"/>
    <mergeCell ref="C146:C147"/>
    <mergeCell ref="D146:D147"/>
    <mergeCell ref="E146:F146"/>
    <mergeCell ref="A7:A8"/>
    <mergeCell ref="B7:B8"/>
    <mergeCell ref="C7:C8"/>
    <mergeCell ref="D7:D8"/>
    <mergeCell ref="E7:F7"/>
    <mergeCell ref="A70:A71"/>
    <mergeCell ref="B70:B71"/>
    <mergeCell ref="C70:C71"/>
    <mergeCell ref="D70:D71"/>
    <mergeCell ref="E70:F7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Angelical V4</dc:creator>
  <cp:keywords/>
  <dc:description/>
  <cp:lastModifiedBy>Gabriel Mendez</cp:lastModifiedBy>
  <cp:lastPrinted>2024-03-01T16:23:40Z</cp:lastPrinted>
  <dcterms:created xsi:type="dcterms:W3CDTF">2009-06-25T16:10:41Z</dcterms:created>
  <dcterms:modified xsi:type="dcterms:W3CDTF">2024-03-02T00:17:46Z</dcterms:modified>
  <cp:category/>
  <cp:version/>
  <cp:contentType/>
  <cp:contentStatus/>
</cp:coreProperties>
</file>